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11"/>
  <workbookPr/>
  <mc:AlternateContent xmlns:mc="http://schemas.openxmlformats.org/markup-compatibility/2006">
    <mc:Choice Requires="x15">
      <x15ac:absPath xmlns:x15ac="http://schemas.microsoft.com/office/spreadsheetml/2010/11/ac" url="C:\Users\FDLT\Desktop\"/>
    </mc:Choice>
  </mc:AlternateContent>
  <xr:revisionPtr revIDLastSave="0" documentId="11_CCBBB3758C15692D9FE26F1057A265C8703E4D7E" xr6:coauthVersionLast="47" xr6:coauthVersionMax="47" xr10:uidLastSave="{00000000-0000-0000-0000-000000000000}"/>
  <workbookProtection lockStructure="1"/>
  <bookViews>
    <workbookView xWindow="0" yWindow="0" windowWidth="24000" windowHeight="8235" xr2:uid="{00000000-000D-0000-FFFF-FFFF00000000}"/>
  </bookViews>
  <sheets>
    <sheet name="2021 chapiner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6" i="1" l="1"/>
  <c r="AQ35" i="1"/>
  <c r="AR35" i="1" s="1"/>
  <c r="AQ34" i="1"/>
  <c r="AR34" i="1" s="1"/>
  <c r="AQ32" i="1"/>
  <c r="AR32" i="1" s="1"/>
  <c r="AR36" i="1"/>
  <c r="AR33" i="1"/>
  <c r="AQ33" i="1"/>
  <c r="AR31" i="1"/>
  <c r="AQ30" i="1"/>
  <c r="AR29" i="1"/>
  <c r="AQ29" i="1"/>
  <c r="AR28" i="1"/>
  <c r="AR27" i="1"/>
  <c r="AQ28" i="1"/>
  <c r="AQ27" i="1"/>
  <c r="AQ26" i="1"/>
  <c r="AQ24" i="1"/>
  <c r="AQ23" i="1"/>
  <c r="AR22" i="1"/>
  <c r="AQ22" i="1"/>
  <c r="AQ21" i="1"/>
  <c r="AQ20" i="1"/>
  <c r="AR17" i="1"/>
  <c r="AC17" i="1"/>
  <c r="AR13" i="1"/>
  <c r="AC35" i="1" l="1"/>
  <c r="AC34" i="1"/>
  <c r="AC33" i="1"/>
  <c r="AC32" i="1"/>
  <c r="AM37" i="1"/>
  <c r="AM30" i="1"/>
  <c r="AM29" i="1"/>
  <c r="AM28" i="1"/>
  <c r="AM27" i="1"/>
  <c r="AM26" i="1"/>
  <c r="AM25" i="1"/>
  <c r="AM24" i="1"/>
  <c r="AM23" i="1"/>
  <c r="AM22" i="1"/>
  <c r="AM21" i="1"/>
  <c r="AM20" i="1"/>
  <c r="AM19" i="1"/>
  <c r="AM18" i="1"/>
  <c r="AM17" i="1"/>
  <c r="AM16" i="1"/>
  <c r="AM15" i="1"/>
  <c r="AM14" i="1"/>
  <c r="AM13" i="1"/>
  <c r="AM31" i="1"/>
  <c r="AM38" i="1"/>
  <c r="AH37" i="1"/>
  <c r="AH31" i="1"/>
  <c r="AH38" i="1"/>
  <c r="AH30" i="1"/>
  <c r="AH29" i="1"/>
  <c r="AH28" i="1"/>
  <c r="AH27" i="1"/>
  <c r="AH26" i="1"/>
  <c r="AH25" i="1"/>
  <c r="AH24" i="1"/>
  <c r="AH23" i="1"/>
  <c r="AH22" i="1"/>
  <c r="AH21" i="1"/>
  <c r="AH20" i="1"/>
  <c r="AH19" i="1"/>
  <c r="AH18" i="1"/>
  <c r="AH17" i="1"/>
  <c r="AH16" i="1"/>
  <c r="AH15" i="1"/>
  <c r="AH14" i="1"/>
  <c r="AH13" i="1"/>
  <c r="AC37" i="1"/>
  <c r="AC30" i="1"/>
  <c r="AC29" i="1"/>
  <c r="AC28" i="1"/>
  <c r="AC27" i="1"/>
  <c r="AC26" i="1"/>
  <c r="AC25" i="1"/>
  <c r="AC24" i="1"/>
  <c r="AC23" i="1"/>
  <c r="AC22" i="1"/>
  <c r="AC21" i="1"/>
  <c r="AC20" i="1"/>
  <c r="AC19" i="1"/>
  <c r="AC18" i="1"/>
  <c r="AC16" i="1"/>
  <c r="AC15" i="1"/>
  <c r="AC13" i="1"/>
  <c r="X23" i="1"/>
  <c r="AR37" i="1"/>
  <c r="X37" i="1"/>
  <c r="X31" i="1"/>
  <c r="X38" i="1"/>
  <c r="X26" i="1"/>
  <c r="AR30" i="1"/>
  <c r="AR26" i="1"/>
  <c r="AR25" i="1"/>
  <c r="AR24" i="1"/>
  <c r="AR23" i="1"/>
  <c r="AR21" i="1"/>
  <c r="AR20" i="1"/>
  <c r="AR19" i="1"/>
  <c r="AR18" i="1"/>
  <c r="AR16" i="1"/>
  <c r="X22" i="1"/>
  <c r="X21" i="1"/>
  <c r="X20" i="1"/>
  <c r="X16" i="1"/>
  <c r="E30" i="1"/>
  <c r="E29" i="1"/>
  <c r="E28" i="1"/>
  <c r="E27" i="1"/>
  <c r="E26" i="1"/>
  <c r="E25" i="1"/>
  <c r="E24" i="1"/>
  <c r="E23" i="1"/>
  <c r="E22" i="1"/>
  <c r="E21" i="1"/>
  <c r="E20" i="1"/>
  <c r="E19" i="1"/>
  <c r="E18" i="1"/>
  <c r="E17" i="1"/>
  <c r="E16" i="1"/>
  <c r="E15" i="1"/>
  <c r="E14" i="1"/>
  <c r="E13" i="1"/>
  <c r="P30" i="1"/>
  <c r="P29" i="1"/>
  <c r="P28" i="1"/>
  <c r="P27" i="1"/>
  <c r="P26" i="1"/>
  <c r="P25" i="1"/>
  <c r="P24" i="1"/>
  <c r="P23" i="1"/>
  <c r="L37" i="1"/>
  <c r="P37" i="1"/>
  <c r="O37" i="1"/>
  <c r="N37" i="1"/>
  <c r="M37" i="1"/>
  <c r="AP36" i="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V36" i="1"/>
  <c r="V33" i="1"/>
  <c r="V30" i="1"/>
  <c r="V29" i="1"/>
  <c r="V28" i="1"/>
  <c r="V27" i="1"/>
  <c r="V26" i="1"/>
  <c r="V25" i="1"/>
  <c r="V24" i="1"/>
  <c r="V23" i="1"/>
  <c r="V22" i="1"/>
  <c r="V21" i="1"/>
  <c r="V20" i="1"/>
  <c r="V19" i="1"/>
  <c r="V18" i="1"/>
  <c r="V17" i="1"/>
  <c r="V16" i="1"/>
  <c r="V15" i="1"/>
  <c r="E31" i="1"/>
  <c r="E37" i="1"/>
  <c r="N38" i="1"/>
  <c r="O38" i="1"/>
  <c r="M38" i="1"/>
  <c r="L38" i="1"/>
  <c r="P38" i="1"/>
  <c r="E38" i="1"/>
  <c r="AR38" i="1" l="1"/>
  <c r="AC31" i="1"/>
  <c r="AC38" i="1" s="1"/>
</calcChain>
</file>

<file path=xl/sharedStrings.xml><?xml version="1.0" encoding="utf-8"?>
<sst xmlns="http://schemas.openxmlformats.org/spreadsheetml/2006/main" count="509" uniqueCount="284">
  <si>
    <r>
      <t xml:space="preserve">ALCALDÍA LOCAL DE </t>
    </r>
    <r>
      <rPr>
        <b/>
        <u/>
        <sz val="11"/>
        <color indexed="8"/>
        <rFont val="Calibri Light"/>
        <family val="2"/>
      </rPr>
      <t>CHAPINERO</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</si>
  <si>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 xml:space="preserve">Caso HOLA: </t>
    </r>
    <r>
      <rPr>
        <sz val="11"/>
        <color indexed="8"/>
        <rFont val="Calibri Light"/>
        <family val="2"/>
      </rPr>
      <t>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</si>
  <si>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</si>
  <si>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</si>
  <si>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</si>
  <si>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</si>
  <si>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</si>
  <si>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</si>
  <si>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</si>
  <si>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2021</t>
  </si>
  <si>
    <t>Publicación del plan de gestión aprobado. Caso HOLA: 158311</t>
  </si>
  <si>
    <t>28 de abril de 2021</t>
  </si>
  <si>
    <t>Para el primer trimestre de la vigencia 2021, el plan de gestión de la Alcaldía Local alcanzó un nivel de desempeño del 75% de acuerdo con lo programado, y del 33%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</si>
  <si>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</si>
  <si>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86,76% de acuerdo con lo programado, y del 46,05%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</si>
  <si>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</si>
  <si>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</si>
  <si>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</si>
  <si>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</si>
  <si>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</si>
  <si>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</si>
  <si>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</si>
  <si>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</si>
  <si>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</si>
  <si>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</si>
  <si>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</si>
  <si>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</si>
  <si>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</si>
  <si>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</si>
  <si>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</si>
  <si>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</si>
  <si>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</si>
  <si>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</si>
  <si>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</si>
  <si>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</si>
  <si>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</si>
  <si>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</si>
  <si>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</si>
  <si>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</si>
  <si>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</si>
  <si>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</si>
  <si>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</si>
  <si>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</si>
  <si>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</si>
  <si>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</si>
  <si>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</si>
  <si>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</si>
  <si>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</si>
  <si>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</si>
  <si>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</si>
  <si>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</si>
  <si>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</si>
  <si>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</si>
  <si>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</si>
  <si>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</si>
  <si>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</si>
  <si>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</si>
  <si>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</si>
  <si>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</si>
  <si>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</si>
  <si>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</si>
  <si>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</si>
  <si>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</si>
  <si>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</si>
  <si>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</si>
  <si>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</si>
  <si>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</si>
  <si>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0,6%. 
Nota: se ajusta la programación de la meta para el II Trimestre de 2021, dado que la información disponible corresponde al I Trimestre. </t>
  </si>
  <si>
    <t>Reporte de ejecución de la meta aportado por la DGDL proveniente de la MUSI</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</si>
  <si>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</si>
  <si>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</si>
  <si>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</si>
  <si>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</si>
  <si>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</si>
  <si>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</si>
  <si>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</si>
  <si>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</si>
  <si>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</si>
  <si>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 para el II Trimestre de 2021.</t>
  </si>
  <si>
    <r>
      <t xml:space="preserve">3. Lograr que el </t>
    </r>
    <r>
      <rPr>
        <b/>
        <sz val="11"/>
        <rFont val="Calibri Light"/>
        <family val="2"/>
      </rPr>
      <t xml:space="preserve">100% </t>
    </r>
    <r>
      <rPr>
        <sz val="11"/>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</si>
  <si>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</si>
  <si>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</si>
  <si>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</si>
  <si>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</si>
  <si>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</si>
  <si>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</si>
  <si>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a satisfacción; por ello, de las 17 metas con presupuestos participativos que ascienden de acuerdo con la asignación presupuestal de 2021, a $6.724.854 de los cuales se han comprometido $386.007.000. Se adjunta archivo con detalle.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para próximos seguimientos.
</t>
  </si>
  <si>
    <t xml:space="preserve">Reporte de recursos comprometidos y con Registro Presupuestal
Plataforma Gobierno Abierto para Bogotá
Acta de acuerdo participativo
BOGDATA
</t>
  </si>
  <si>
    <t xml:space="preserve">La Alcaldía Local de Chapinero logró la ejecución de 6 propuestas ganadoras de presupuestos participativos (Fase II), de las 37 propuestas ganadoras.
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satisfechas; por ello, de las 17 metas con presupuestos se calcula el porcentaje del presente indicador con 6 de estas metas que ya tienen aprobación del comité de contratación. Con los proyectos 1848, 1853 y 1671 </t>
  </si>
  <si>
    <t>Reporte Dirección para la Gestión del Desarrollo Local
Reporte de recursos comprometidos y con Registro Presupuestal 
Plataforma Gobierno Abierto para Bogotá 
Acta de acuerdo participativo 
BOGDATA 
Actas de Comite
Cronograma de Seguimiento</t>
  </si>
  <si>
    <t>La Alcaldía Local de Chapinero logró la ejecución de 6 propuestas ganadoras de presupuestos participativos (Fase II), de las 37 propuestas ganadoras.</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</si>
  <si>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</si>
  <si>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</si>
  <si>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</si>
  <si>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</si>
  <si>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</si>
  <si>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</si>
  <si>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</si>
  <si>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</si>
  <si>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100% de los pagos autorizados por los apoyos a la supervisión se giraron equivalentes al 14,65% reportado</t>
  </si>
  <si>
    <t xml:space="preserve">Reporte seguimiento mensual consolidado
Reporte BOGDATA
</t>
  </si>
  <si>
    <t>La Alcaldía Local Chapinero giró $3.476.095.542del presupuesto comprometido constituido como obligaciones por pagar de la vigencia 2020, equivalente a $10.397.071.031, lo cual corresponde a un nivel de ejecución del 33,43%.</t>
  </si>
  <si>
    <t>Reporte BOGDATA 
Reporte de seguimiento presentado por la Dirección para la Gestión del Desarrollo Local.</t>
  </si>
  <si>
    <t>La Alcaldía Local Chapinero giró $3.476.095.542del presupuesto comprometido constituido como obligaciones por pagar de la vigencia 2020, equivalente a $10.397.071.031, lo cual corresponde a un nivel de ejecución del 33,43% para el periodo, que representa un cumplimiento acumulado de la meta del 55,72%</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</si>
  <si>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</si>
  <si>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</si>
  <si>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</si>
  <si>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El 100% de los pagos autorizados por los apoyos a la supervisión se giraron equivalentes al 15,10% reportado</t>
  </si>
  <si>
    <t>Para el II Trimestre de 2021, la Alcaldía Local Chapinero ha girado $4858371900del presupuesto comprometido constituido como obligaciones por pagar de la vigencia 2019 y anteriores, equivalente a $11971234952, lo que representa un nivel de ejecución del 40,58%.</t>
  </si>
  <si>
    <t>Reporte de seguimiento presentado por la Dirección para la Gestión del Desarrollo Local.
Reporte BOGDATA</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</si>
  <si>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</si>
  <si>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</si>
  <si>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</si>
  <si>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</si>
  <si>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La contratación se da en razón a los contratos legalizados en el primer trimestre y a transferencias como la de ingreso solidario</t>
  </si>
  <si>
    <t>Para el II Trimestre de 2021, la Alcaldía Local de Chapinero comprometió $5.711.845.852 de los $15.888.914.000 asignados como presupuesto de inversión directa de la vigencia 2021, lo que representa un nivel de ejecución del 35,95%, superando lo esperado para el periodo, gracias a la gestión del alcalde  local y su equipo de trabajo. 
Nota: De acuerdo con  lo informado por la alcaldía local, la meta se cumplió en un 33,97%,  dado que no se incluye el valor de los excedentes financieros.</t>
  </si>
  <si>
    <t xml:space="preserve">Reporte de seguimiento presentado por la Dirección para la Gestión del Desarrollo Local. 
Reporte BOGDATA </t>
  </si>
  <si>
    <t xml:space="preserve">Para el II Trimestre de 2021, la Alcaldía Local de Chapinero comprometió $5.711.845.852 de los $15.888.914.000 asignados como presupuesto de inversión directa de la vigencia 2021, lo que representa un nivel de ejecución del 35,95%, superando lo esperado para el periodo, gracias a la gestión del alcalde  local y su equipo de trabajo. </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</si>
  <si>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</si>
  <si>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</si>
  <si>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</si>
  <si>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Se giraron el 100% de los pagos aprobados y la transferencia monetaria.</t>
  </si>
  <si>
    <t xml:space="preserve">La Alcaldía Local de Chapinero giró $3.413.129.569 de los $15.888.914.000 asignados como depuesto disponible de inversión directa de la vigencia, lo que representa un nivel de ejecución acumulado del 21,48%. </t>
  </si>
  <si>
    <t>Reporte de seguimiento presentado por la Dirección para la Gestión del Desarrollo Local.</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</si>
  <si>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</si>
  <si>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</si>
  <si>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</si>
  <si>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</si>
  <si>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</si>
  <si>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través del análisis de la información disponible con contratos electrónicos disponibles en SECOP II versus las solicitudes SIPSE que ha culminado su flujo y han superado la estación CARGUE DE CONTRATO -  CONTRATACION, se evidencia que 32 contratos han sido asociados en SIPSE de los contratos publicados en SECOPII para en el primer trimestre de 2021. Ver informe</t>
  </si>
  <si>
    <t xml:space="preserve">Reporte seguimiento mensual consolidado
Reporte SIPSE LOCAL y Reporte SECOP
</t>
  </si>
  <si>
    <t xml:space="preserve">La Alcaldía Local de Chapinero ha registrado 109 contratos de los 116 contratos publicados en la plataforma SECOP I y II, lo que representa un nivel de cumplimiento del 93,97% para el periodo. </t>
  </si>
  <si>
    <t xml:space="preserve">La Alcaldía Local de Chapinero ha registrado 109 contratos de los 116 contratos publicados en la plataforma SECOP I y II, lo que representa un nivel de cumplimiento del 93,97% para el periodo y del 35,97% acumulado. </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</si>
  <si>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</si>
  <si>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</si>
  <si>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</si>
  <si>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</si>
  <si>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</si>
  <si>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 xml:space="preserve">A través del análisis de la información disponible con contratos electrónicos disponibles en SECOPII versus las solicitudes SIPSE que ha culminado su flujo total, se evidencia que 17 contratos están en estado 2.2., de los contratos publicados en SECOP II para en el primer trimestre de 2021. Ver informe
</t>
  </si>
  <si>
    <t xml:space="preserve">Reporte seguimiento mensual consolidado
Reporte SIPSE LOCAL
</t>
  </si>
  <si>
    <t xml:space="preserve">La Alcaldía Local de Chapinero ha registrado 108 contratos en SIPSE Local en estado ejecución de los 108 contratos registrados en SIPSE Local, lo que equivale al 100%. </t>
  </si>
  <si>
    <t xml:space="preserve">La Alcaldía Local de Chapinero ha registrado 108 contratos en SIPSE Local en estado ejecución de los 108 contratos registrados en SIPSE Local, lo que equivale al 100% para el II trimestre, y del 32,85% acumulado para la vigencia. </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</si>
  <si>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</si>
  <si>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</si>
  <si>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</si>
  <si>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</si>
  <si>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</si>
  <si>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Durante el primer trimestre se presenta el siguiente panorama:
100% utilización módulo proyectos
0% utilización módulo Banco de iniciativas
20% utilización módulos Contratos y Financiero, en relación con el indicador anterior. Ver informe
</t>
  </si>
  <si>
    <t xml:space="preserve">Este indicador se calcula a partir del promedio de ejecución de la meta 8 que corresponde al 93.9% la meta 9 del 100% y la ejecución de 25% del módulo de banco de iniciativas, se incluye pantallazo del cargue de 4 de 17 metas de banco de iniciativas </t>
  </si>
  <si>
    <t>Reporte seguimiento mensual consolidado 
Reporte SIPSE LOCAL</t>
  </si>
  <si>
    <t>Inspección, vigilancia y control</t>
  </si>
  <si>
    <r>
      <t xml:space="preserve">11. 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</si>
  <si>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</si>
  <si>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</si>
  <si>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</si>
  <si>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</si>
  <si>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</si>
  <si>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</si>
  <si>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Conforme a lo anterior se entiende que con respecto a la META 11, lo programado para las 4 inspecciones son 1920 expedientes impulsándolos procesalmente. De acuerdo con el reporte de la DGP. Se impulsaron procesalmente 1.529 expedientes.</t>
  </si>
  <si>
    <t>Fallos de fondo – Aplicativo ARCO
MATRIZ DE CONSOLIDACIÓN</t>
  </si>
  <si>
    <t xml:space="preserve">En el segundo trimestre de 2021, la alcaldía local de Chapinero impulsó procesalmente 1910 expedientes a cargo de las inspecciones de policía, lo que representa un resultado de 99,48% para el periodo. </t>
  </si>
  <si>
    <t>Reporte de seguimiento presentado por la Dirección para la Gestión Policiva</t>
  </si>
  <si>
    <t xml:space="preserve">En el primer y segundo trimestre de 2021, la alcaldía local de Chapinero impulsó procesalmente 3.439 expedientes a cargo de las inspecciones de policía, lo que representa un resultado acumulado del 44,78% frente a la magnitud anual. </t>
  </si>
  <si>
    <r>
      <t xml:space="preserve">12. Proferir </t>
    </r>
    <r>
      <rPr>
        <b/>
        <sz val="11"/>
        <color indexed="8"/>
        <rFont val="Calibri Light"/>
        <family val="2"/>
      </rPr>
      <t>3.840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</si>
  <si>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</si>
  <si>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</si>
  <si>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</si>
  <si>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Lo programado para las inspecciones entre fallos y archivos en primera instancia son 960, para lo cual se consolidó un total de 1.319 fallos y archivos entre las 4 inspecciones de chapinero, de acuerdo con el reporte de la DGP.</t>
  </si>
  <si>
    <t>Actuaciones administrativas terminadas
Aplicativo SI ACTUA
MATRIZ DE CONSOLIDACIÓN</t>
  </si>
  <si>
    <t>En el segundo trimestre de 2021, la alcaldía local de Chapinero profirió 1062 fallos en primera instancia sobre los expedientes a cargo de las inspecciones de policía, lo que representa un resultado de 100%  para el periodo según lo programado.</t>
  </si>
  <si>
    <t xml:space="preserve">La alcaldía local de Chapinero profirió 2.381 fallos en primera instancia sobre los expedientes a cargo de las inspecciones de policía, lo que representa un resultado acumulado del 62,01% frente a la magnitud anual. </t>
  </si>
  <si>
    <r>
      <t xml:space="preserve">13. Terminar (archivar), </t>
    </r>
    <r>
      <rPr>
        <b/>
        <sz val="11"/>
        <color indexed="8"/>
        <rFont val="Calibri Light"/>
        <family val="2"/>
      </rPr>
      <t xml:space="preserve">234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</si>
  <si>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</si>
  <si>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</si>
  <si>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</si>
  <si>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</si>
  <si>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</si>
  <si>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Actualmente se adelanta por parte del equipo la caracterización de actualización de los expedientes con la verificación física de los mismos</t>
  </si>
  <si>
    <t xml:space="preserve">Actuaciones administrativas terminadas por vía gubernativa
Aplicativo Si Actúa I
</t>
  </si>
  <si>
    <t>No se pudo avanzar en la meta para el segundo trimestre del año 2021, por cuanto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t>
  </si>
  <si>
    <t>Actuaciones administrativas terminadas por vía gubernativa 
Aplicativo Si Actúa I
Reporte de seguimiento presentado por la Dirección para la Gestión Policiva</t>
  </si>
  <si>
    <r>
      <t xml:space="preserve">14. Terminar </t>
    </r>
    <r>
      <rPr>
        <b/>
        <sz val="11"/>
        <color indexed="8"/>
        <rFont val="Calibri Light"/>
        <family val="2"/>
      </rPr>
      <t>186</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</si>
  <si>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</si>
  <si>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</si>
  <si>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Se finalizó el trámite de cobro persuasivo y se remitieron las actuaciones a la Secretaría de Hacienda Distrital para proseguir con el trámite de cobro coactivo.</t>
  </si>
  <si>
    <t xml:space="preserve">Registros operativos Alcaldía Local
</t>
  </si>
  <si>
    <t xml:space="preserve">En el segundo trimestre de 2021, la alcaldía local de Chapinero terminó 36 actuaciones administrativas en primera instancia, lo que representa un resultado de 63,16% para el periodo. 
En el presente trimestre se pudo avanzar un porcentaje mayor  respecto de la meta del segundo trimestre del año 2021 por cuanto en el trimestre anterior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 
</t>
  </si>
  <si>
    <t>Acta de asistencia e informe del operativo 
Registros operativos Alcaldía Local 
Reporte de seguimiento presentado por la Dirección para la Gestión Policiva</t>
  </si>
  <si>
    <t>Se han atendido actuaciones administrativas en primera instancia, lo que representa un avance acumulado de la meta del 22%.</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</si>
  <si>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</si>
  <si>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</si>
  <si>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</si>
  <si>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</si>
  <si>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</si>
  <si>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</si>
  <si>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Durante I trimestre se realizaron 102 acciones de control u operativos en Espacio Público. Anexamos matriz en Excel relacionando cada uno, junto con las respectivas actas.</t>
  </si>
  <si>
    <t xml:space="preserve">Durante II trimestre se realizaron 146 acciones de control u operativos en Espacio Público. Se realizaron 39 operativos interinstitucionales y 107 visitas de inspección, vigilancia y control.  </t>
  </si>
  <si>
    <t>GET-IVC-F037 Formato técnico de visita y/o verificación - espacio público. 
Acta de asistencia e informe del operativo 
Registros operativos Alcaldía Local</t>
  </si>
  <si>
    <t>Se han realizado 248 operativos de inspección, vigilancia y control en materia de integridad del espacio público</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</si>
  <si>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</si>
  <si>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</si>
  <si>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</si>
  <si>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Durante el primer trimestre se realizaron 71 acciones de control u operativos de Actividad Económica, anexamos matriz Excel relacionando cada uno junto con las respectivas actas.</t>
  </si>
  <si>
    <t xml:space="preserve">Durante el II trimestre se realizaron 105 acciones de control u operativos de Actividad Económica. Se realizaron 33 operativos interinstitucionales y 72 visitas de Inspección, Vigilancia y Control  
 </t>
  </si>
  <si>
    <t xml:space="preserve">GET-IVC-F035 Acta de visita 
GDI-GPD-F029 Evidencia de reunión  
Acta de asistencia e informe del operativo 
Registros operativos Alcaldía Local </t>
  </si>
  <si>
    <t>Se han realizado 176 operativos de inspección, vigilancia y control en materia de actividad económica</t>
  </si>
  <si>
    <r>
      <t xml:space="preserve">17. Realizar </t>
    </r>
    <r>
      <rPr>
        <b/>
        <sz val="11"/>
        <color indexed="8"/>
        <rFont val="Calibri Light"/>
        <family val="2"/>
      </rPr>
      <t>36</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</si>
  <si>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</si>
  <si>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</si>
  <si>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Durante I trimestre se realizaron 60 acciones de control. Se anexa como soporte archivo Excel y relacionando cada uno y Actas.</t>
  </si>
  <si>
    <t xml:space="preserve">Durante II trimestre se realizaron 86 acciones de control.  Se realizaron 5 operativos interinstitucionales y 81 visitas de Inspección, vigilancia y control. 
Nota: Se informó por parte de la Dirección de Gestión Policiva de la necesidad de replantear meta con oficina Asesora de Planeación </t>
  </si>
  <si>
    <t xml:space="preserve"> GET-IVC-F034 Formato técnico de visita y/o verificación- control urbanístico 
GDI-GPD-F029 Evidencia de reunión  
Acta de asistencia e informe del operativo 
Registros operativos Alcaldía Local </t>
  </si>
  <si>
    <t>Se han realizado 146 operativos de inspección, vigilancia y control en materia de obras y urbanismo.</t>
  </si>
  <si>
    <r>
      <t xml:space="preserve">18. Realizar </t>
    </r>
    <r>
      <rPr>
        <b/>
        <sz val="11"/>
        <color indexed="8"/>
        <rFont val="Calibri Light"/>
        <family val="2"/>
      </rPr>
      <t>44</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</si>
  <si>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</si>
  <si>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</si>
  <si>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Durante I trimestre se realizaron 15 acciones de control u operativos en Cerros Orientales para lo cual anexamos Excel relacionando cada uno y las respectivas actas. </t>
  </si>
  <si>
    <t xml:space="preserve">Registros operativos Alcaldía Local (actas y excel)
</t>
  </si>
  <si>
    <t xml:space="preserve">Durante II trimestre se realizaron 12 acciones de control u operativos en Cerros Orientales. 12 OPERATIVOS INTERINSTITUCIONALES. </t>
  </si>
  <si>
    <t xml:space="preserve"> Formato 
GDI-GPD-F029 Evidencia de reunión  
Acta de asistencia e informe del operativo 
Registros operativos Alcaldía Local </t>
  </si>
  <si>
    <t xml:space="preserve">Se han realizado 27 operativos de inspección, vigilancia y control para dar cumplimiento a los fallos de cerros orientales. </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</si>
  <si>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</si>
  <si>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</si>
  <si>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</si>
  <si>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</si>
  <si>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</si>
  <si>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</si>
  <si>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</si>
  <si>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</si>
  <si>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</si>
  <si>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</si>
  <si>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</si>
  <si>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</si>
  <si>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</si>
  <si>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 xml:space="preserve">Implementación del Sistema de Gestión Ambiental en un porcentaje de 63%, resultados obtenidos de la inspección ambiental realizada el 13 de mayo de 2021, empleando el formato: PLE-PIN-F012 Formato inspecciones ambientales para verificación de implementación del plan institucional de gestión ambiental.
Para el segundo semestre del 2021 se obtuvo esta puntuación en la inspección ambiental realizada por la OAP, debido a que se está articulando entre el Plan Institucional de Gestión Ambiental y el Sistema de Gestión Ambiental, pasando de un 34% en el 2020 a un 63% en el 2021. </t>
  </si>
  <si>
    <t xml:space="preserve">Listas de chequeo al cumplimiento de criterios ambientales remitidos por la OAP 
Resultados de medición de los criterios ambientales </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</si>
  <si>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</si>
  <si>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</si>
  <si>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</si>
  <si>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</si>
  <si>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</si>
  <si>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</si>
  <si>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</si>
  <si>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</si>
  <si>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38 acciones de las cuales 19 presentan vencimiento.</t>
  </si>
  <si>
    <t>Reporte MIMEC</t>
  </si>
  <si>
    <t>La localidad tiene 14 acciones de las cuales 7 presentan vencimiento. El porcentaje que muestra el avance en el cierre o cumplimiento de acciones vencidas frente a las acciones asignadas en aplicativo MIMEC para los planes de mejora en ejecución.</t>
  </si>
  <si>
    <t xml:space="preserve">Reportes MIMEC - SIG remitido por la OAP </t>
  </si>
  <si>
    <t>Para el II trimestre de 2021, la localidad tiene 14 acciones de las cuales 7 presentan vencimiento. El porcentaje que muestra el avance en el cierre o cumplimiento de acciones vencidas frente a las acciones asignadas en aplicativo MIMEC para los planes de mejora en ejecución.</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</si>
  <si>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</si>
  <si>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</si>
  <si>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</si>
  <si>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</si>
  <si>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</si>
  <si>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</si>
  <si>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</si>
  <si>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</si>
  <si>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</si>
  <si>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Chapinero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Durante el segundo trimestre se realizó la actualización de la página web y sus diferentes secciones. La actualización de la misma se realizó tanto con la creación de contenidos de valor como comunicados de prensa como los documentos que fueron remitidos por los diferentes líderes de la Alcaldía para cumplir con el objetivo de mantener a la comunidad actualizada en las acciones realizadas y también cumplir con los estándares de transparencia.</t>
  </si>
  <si>
    <t>Página web de la alcaldía local con la información actualizada al 96% 
10.7 Registro de Publicación Chapinero 
http://www.chapinero.gov.co/tabla_archivos/107-registro-publicacion-chapinero</t>
  </si>
  <si>
    <t>La Alcaldía Local Chapinero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y del 31,56% para la vigencia. 
Durante el segundo trimestre se realizó la actualización de la página web y sus diferentes secciones. La actualización de la misma se realizó tanto con la creación de contenidos de valor como comunicados de prensa como los documentos que fueron remitidos por los diferentes líderes de la Alcaldía para cumplir con el objetivo de mantener a la comunidad actualizada en las acciones realizadas y también cumplir con los estándares de transparencia.</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</si>
  <si>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</si>
  <si>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</si>
  <si>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</si>
  <si>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</si>
  <si>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</si>
  <si>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</si>
  <si>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</si>
  <si>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 xml:space="preserve">Listado de asistencia 
Video de la reunión 
Presentación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</si>
  <si>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</si>
  <si>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</si>
  <si>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</si>
  <si>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</si>
  <si>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</si>
  <si>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</si>
  <si>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</si>
  <si>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</si>
  <si>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</si>
  <si>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</si>
  <si>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La localidad ha atendido 7.279 requerimientos ciudadanos de los 7.474 recibidos de 2016 a 2020, que equivalen al 97,39%</t>
  </si>
  <si>
    <t xml:space="preserve">La Localidad de Chapinero ha atendido 7346 requerimientos ciudadanos, de los 7474 recibidos, lo que representa un 98,3% de gestión frente a la meta prevista. </t>
  </si>
  <si>
    <t>Reporte de atención de requerimientos ciudadanos Subsecretaría de Gestión Institucional
Reporte Aplicativo CRONOS</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</si>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</sst>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17">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b/>
      <sz val="11"/>
      <name val="Calibri Light"/>
      <family val="2"/>
    </font>
    <font>
      <sz val="11"/>
      <name val="Calibri Light"/>
      <family val="2"/>
    </font>
    <font>
      <b/>
      <sz val="11"/>
      <color rgb="FF0070C0"/>
      <name val="Calibri Light"/>
      <family val="2"/>
      <scheme val="maj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132">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10" fontId="5" fillId="0" borderId="1" xfId="2" applyNumberFormat="1" applyFont="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2" applyFont="1" applyBorder="1" applyAlignment="1" applyProtection="1">
      <alignment horizontal="left" vertical="top" wrapText="1"/>
      <protection hidden="1"/>
    </xf>
    <xf numFmtId="0" fontId="7" fillId="0" borderId="1" xfId="0" applyFont="1" applyBorder="1" applyAlignment="1" applyProtection="1">
      <alignment horizontal="left" vertical="top" wrapText="1"/>
      <protection hidden="1"/>
    </xf>
    <xf numFmtId="164" fontId="5" fillId="0" borderId="1" xfId="1" applyFont="1" applyBorder="1" applyAlignment="1" applyProtection="1">
      <alignment horizontal="left" vertical="top" wrapText="1"/>
      <protection hidden="1"/>
    </xf>
    <xf numFmtId="164" fontId="5" fillId="0" borderId="1" xfId="0" applyNumberFormat="1" applyFont="1" applyBorder="1" applyAlignment="1" applyProtection="1">
      <alignment horizontal="left" vertical="top" wrapText="1"/>
      <protection hidden="1"/>
    </xf>
    <xf numFmtId="0" fontId="5" fillId="0" borderId="1" xfId="0" applyFont="1" applyBorder="1" applyAlignment="1" applyProtection="1">
      <alignment horizontal="right" vertical="top"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protection hidden="1"/>
    </xf>
    <xf numFmtId="9" fontId="9" fillId="2" borderId="1" xfId="2"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lef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2" applyNumberFormat="1" applyFont="1" applyFill="1" applyBorder="1" applyAlignment="1" applyProtection="1">
      <alignment horizontal="right" vertical="top" wrapText="1"/>
      <protection hidden="1"/>
    </xf>
    <xf numFmtId="9" fontId="10" fillId="3" borderId="1" xfId="2"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2"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2"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5" fillId="0" borderId="1" xfId="0" applyNumberFormat="1" applyFont="1" applyBorder="1" applyAlignment="1" applyProtection="1">
      <alignment horizontal="right" vertical="top" wrapText="1"/>
      <protection hidden="1"/>
    </xf>
    <xf numFmtId="0" fontId="8" fillId="0" borderId="0" xfId="0" applyFont="1" applyAlignment="1" applyProtection="1">
      <alignment wrapText="1"/>
      <protection hidden="1"/>
    </xf>
    <xf numFmtId="0" fontId="12" fillId="0" borderId="0" xfId="0" applyFont="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5" fillId="0" borderId="0" xfId="0" applyFont="1" applyAlignment="1" applyProtection="1">
      <alignment horizontal="left" vertical="top" wrapText="1"/>
      <protection hidden="1"/>
    </xf>
    <xf numFmtId="164" fontId="5" fillId="0" borderId="1" xfId="1" applyFont="1" applyBorder="1" applyAlignment="1" applyProtection="1">
      <alignment vertical="top" wrapText="1"/>
      <protection hidden="1"/>
    </xf>
    <xf numFmtId="0" fontId="5" fillId="0" borderId="0" xfId="0" applyFont="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164" fontId="5" fillId="0" borderId="1" xfId="1" applyFont="1" applyBorder="1" applyAlignment="1" applyProtection="1">
      <alignment horizontal="center" vertical="top" wrapText="1"/>
      <protection hidden="1"/>
    </xf>
    <xf numFmtId="9" fontId="10" fillId="0" borderId="1" xfId="2" applyFont="1" applyBorder="1" applyAlignment="1" applyProtection="1">
      <alignment horizontal="center" vertical="top" wrapText="1"/>
      <protection hidden="1"/>
    </xf>
    <xf numFmtId="0" fontId="5" fillId="0" borderId="0" xfId="0" applyFont="1" applyAlignment="1" applyProtection="1">
      <alignment horizontal="justify" vertical="top" wrapText="1"/>
      <protection hidden="1"/>
    </xf>
    <xf numFmtId="9" fontId="5" fillId="0" borderId="1" xfId="0" applyNumberFormat="1" applyFont="1" applyBorder="1" applyAlignment="1" applyProtection="1">
      <alignment horizontal="justify"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hidden="1"/>
    </xf>
    <xf numFmtId="0" fontId="10" fillId="0" borderId="1" xfId="0" applyFont="1" applyBorder="1" applyAlignment="1" applyProtection="1">
      <alignment horizontal="center" vertical="top" wrapText="1"/>
      <protection hidden="1"/>
    </xf>
    <xf numFmtId="10" fontId="5" fillId="0" borderId="1" xfId="0" applyNumberFormat="1" applyFont="1" applyBorder="1" applyAlignment="1" applyProtection="1">
      <alignment horizontal="right" vertical="top" wrapText="1"/>
      <protection hidden="1"/>
    </xf>
    <xf numFmtId="165" fontId="5" fillId="0" borderId="1" xfId="0" applyNumberFormat="1" applyFont="1" applyBorder="1" applyAlignment="1" applyProtection="1">
      <alignment horizontal="center" vertical="top" wrapText="1"/>
      <protection hidden="1"/>
    </xf>
    <xf numFmtId="10" fontId="10" fillId="0" borderId="1" xfId="2" applyNumberFormat="1" applyFont="1" applyBorder="1" applyAlignment="1" applyProtection="1">
      <alignment horizontal="center" vertical="top" wrapText="1"/>
      <protection hidden="1"/>
    </xf>
    <xf numFmtId="0" fontId="10" fillId="0" borderId="1" xfId="0" applyFont="1" applyBorder="1" applyAlignment="1" applyProtection="1">
      <alignment horizontal="justify" vertical="top" wrapText="1"/>
      <protection hidden="1"/>
    </xf>
    <xf numFmtId="10" fontId="7" fillId="0" borderId="1" xfId="2" applyNumberFormat="1" applyFont="1" applyBorder="1" applyAlignment="1" applyProtection="1">
      <alignment horizontal="right" vertical="top" wrapText="1"/>
      <protection hidden="1"/>
    </xf>
    <xf numFmtId="9" fontId="7" fillId="0" borderId="1" xfId="0" applyNumberFormat="1" applyFont="1" applyBorder="1" applyAlignment="1" applyProtection="1">
      <alignment horizontal="left" vertical="top" wrapText="1"/>
      <protection hidden="1"/>
    </xf>
    <xf numFmtId="9" fontId="7" fillId="0" borderId="1" xfId="0" applyNumberFormat="1" applyFont="1" applyBorder="1" applyAlignment="1" applyProtection="1">
      <alignment horizontal="center" vertical="top" wrapText="1"/>
      <protection hidden="1"/>
    </xf>
    <xf numFmtId="9" fontId="7" fillId="0" borderId="1" xfId="0" applyNumberFormat="1" applyFont="1" applyBorder="1" applyAlignment="1" applyProtection="1">
      <alignment horizontal="right" vertical="top" wrapText="1"/>
      <protection hidden="1"/>
    </xf>
    <xf numFmtId="0" fontId="7" fillId="0" borderId="0" xfId="0" applyFont="1" applyAlignment="1" applyProtection="1">
      <alignment horizontal="left" vertical="top" wrapText="1"/>
      <protection hidden="1"/>
    </xf>
    <xf numFmtId="9" fontId="6" fillId="2" borderId="1" xfId="2"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2"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6" fillId="2" borderId="1" xfId="2" applyFont="1" applyFill="1" applyBorder="1" applyAlignment="1" applyProtection="1">
      <alignment horizontal="right" wrapText="1"/>
      <protection hidden="1"/>
    </xf>
    <xf numFmtId="9" fontId="6" fillId="2" borderId="1" xfId="2" applyFont="1" applyFill="1" applyBorder="1" applyAlignment="1" applyProtection="1">
      <alignment horizontal="center" wrapText="1"/>
      <protection hidden="1"/>
    </xf>
    <xf numFmtId="9" fontId="16" fillId="2" borderId="1" xfId="0" applyNumberFormat="1" applyFont="1" applyFill="1" applyBorder="1" applyAlignment="1" applyProtection="1">
      <alignment horizontal="center" vertical="top" wrapText="1"/>
      <protection hidden="1"/>
    </xf>
    <xf numFmtId="9" fontId="6" fillId="2" borderId="1" xfId="0" applyNumberFormat="1" applyFont="1" applyFill="1" applyBorder="1" applyAlignment="1" applyProtection="1">
      <alignment horizontal="center" vertical="top" wrapText="1"/>
      <protection hidden="1"/>
    </xf>
    <xf numFmtId="9" fontId="16" fillId="2" borderId="1" xfId="0" applyNumberFormat="1" applyFont="1" applyFill="1" applyBorder="1" applyAlignment="1" applyProtection="1">
      <alignment wrapText="1"/>
      <protection hidden="1"/>
    </xf>
    <xf numFmtId="9" fontId="16" fillId="2" borderId="1" xfId="0" applyNumberFormat="1" applyFont="1" applyFill="1" applyBorder="1" applyAlignment="1" applyProtection="1">
      <alignment horizontal="center" wrapText="1"/>
      <protection hidden="1"/>
    </xf>
    <xf numFmtId="9" fontId="5" fillId="4" borderId="1" xfId="2"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9" fontId="5" fillId="4" borderId="1" xfId="2" applyFont="1" applyFill="1" applyBorder="1" applyAlignment="1" applyProtection="1">
      <alignment wrapText="1"/>
      <protection hidden="1"/>
    </xf>
    <xf numFmtId="0" fontId="5" fillId="4" borderId="1" xfId="0" applyFont="1" applyFill="1" applyBorder="1" applyAlignment="1" applyProtection="1">
      <alignment wrapText="1"/>
      <protection hidden="1"/>
    </xf>
    <xf numFmtId="9" fontId="5" fillId="4" borderId="1" xfId="2" applyFont="1" applyFill="1" applyBorder="1" applyAlignment="1" applyProtection="1">
      <alignment horizontal="center"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5" fillId="0" borderId="1" xfId="0" applyFont="1" applyBorder="1" applyAlignment="1" applyProtection="1">
      <alignment horizontal="justify" vertical="top" wrapText="1"/>
      <protection hidden="1"/>
    </xf>
    <xf numFmtId="0" fontId="7" fillId="0" borderId="1" xfId="0" applyFont="1" applyBorder="1" applyAlignment="1" applyProtection="1">
      <alignment horizontal="justify" vertical="top" wrapText="1"/>
      <protection hidden="1"/>
    </xf>
    <xf numFmtId="0" fontId="5" fillId="2" borderId="1" xfId="0" applyFont="1" applyFill="1" applyBorder="1" applyAlignment="1" applyProtection="1">
      <alignment horizontal="justify" wrapText="1"/>
      <protection hidden="1"/>
    </xf>
    <xf numFmtId="0" fontId="5" fillId="4" borderId="1" xfId="0" applyFont="1" applyFill="1" applyBorder="1" applyAlignment="1" applyProtection="1">
      <alignment horizontal="justify" wrapText="1"/>
      <protection hidden="1"/>
    </xf>
    <xf numFmtId="9" fontId="10" fillId="0" borderId="1" xfId="2" applyFont="1" applyBorder="1" applyAlignment="1" applyProtection="1">
      <alignment horizontal="justify" vertical="top" wrapText="1"/>
      <protection hidden="1"/>
    </xf>
    <xf numFmtId="0" fontId="6" fillId="5" borderId="1" xfId="0" applyFont="1" applyFill="1" applyBorder="1" applyAlignment="1" applyProtection="1">
      <alignment horizontal="justify" vertical="center" wrapText="1"/>
      <protection hidden="1"/>
    </xf>
    <xf numFmtId="10" fontId="6" fillId="6" borderId="1" xfId="0" applyNumberFormat="1" applyFont="1" applyFill="1" applyBorder="1" applyAlignment="1" applyProtection="1">
      <alignment horizontal="center" vertical="center" wrapText="1"/>
      <protection hidden="1"/>
    </xf>
    <xf numFmtId="10" fontId="6" fillId="2" borderId="1" xfId="2" applyNumberFormat="1" applyFont="1" applyFill="1" applyBorder="1" applyAlignment="1" applyProtection="1">
      <alignment horizontal="center" vertical="top" wrapText="1"/>
      <protection hidden="1"/>
    </xf>
    <xf numFmtId="10" fontId="16" fillId="2" borderId="1" xfId="0" applyNumberFormat="1" applyFont="1" applyFill="1" applyBorder="1" applyAlignment="1" applyProtection="1">
      <alignment horizontal="center" vertical="top" wrapText="1"/>
      <protection hidden="1"/>
    </xf>
    <xf numFmtId="10" fontId="6" fillId="4" borderId="1" xfId="0" applyNumberFormat="1" applyFont="1" applyFill="1" applyBorder="1" applyAlignment="1" applyProtection="1">
      <alignment horizontal="center" vertical="top" wrapText="1"/>
      <protection hidden="1"/>
    </xf>
    <xf numFmtId="10" fontId="7" fillId="0" borderId="1" xfId="0" applyNumberFormat="1" applyFont="1" applyBorder="1" applyAlignment="1" applyProtection="1">
      <alignment horizontal="center" vertical="top" wrapText="1"/>
      <protection hidden="1"/>
    </xf>
    <xf numFmtId="10" fontId="6" fillId="2" borderId="1" xfId="0" applyNumberFormat="1" applyFont="1" applyFill="1" applyBorder="1" applyAlignment="1" applyProtection="1">
      <alignment horizontal="center" vertical="top" wrapText="1"/>
      <protection hidden="1"/>
    </xf>
    <xf numFmtId="10" fontId="5" fillId="0" borderId="1" xfId="2" applyNumberFormat="1" applyFont="1" applyBorder="1" applyAlignment="1" applyProtection="1">
      <alignment horizontal="right" vertical="top" wrapText="1"/>
    </xf>
    <xf numFmtId="10" fontId="5" fillId="0" borderId="1" xfId="2" applyNumberFormat="1" applyFont="1" applyBorder="1" applyAlignment="1" applyProtection="1">
      <alignment horizontal="center" vertical="top" wrapText="1"/>
    </xf>
    <xf numFmtId="0" fontId="5" fillId="0" borderId="1" xfId="0" applyFont="1" applyBorder="1" applyAlignment="1" applyProtection="1">
      <alignment horizontal="justify" vertical="top" wrapText="1"/>
    </xf>
    <xf numFmtId="9" fontId="5" fillId="0" borderId="1" xfId="2" applyFont="1" applyBorder="1" applyAlignment="1" applyProtection="1">
      <alignment horizontal="right" vertical="top" wrapText="1"/>
    </xf>
    <xf numFmtId="9" fontId="7" fillId="0" borderId="1" xfId="0" applyNumberFormat="1" applyFont="1" applyBorder="1" applyAlignment="1" applyProtection="1">
      <alignment horizontal="center" vertical="top" wrapText="1"/>
    </xf>
    <xf numFmtId="0" fontId="7" fillId="0" borderId="1" xfId="0" applyFont="1" applyBorder="1" applyAlignment="1" applyProtection="1">
      <alignment horizontal="justify" vertical="top" wrapText="1"/>
    </xf>
    <xf numFmtId="9" fontId="7" fillId="0" borderId="1" xfId="2" applyFont="1" applyBorder="1" applyAlignment="1" applyProtection="1">
      <alignment horizontal="right" vertical="top" wrapText="1"/>
    </xf>
    <xf numFmtId="10" fontId="7" fillId="0" borderId="1" xfId="2" applyNumberFormat="1" applyFont="1" applyBorder="1" applyAlignment="1" applyProtection="1">
      <alignment horizontal="center" vertical="top" wrapText="1"/>
    </xf>
    <xf numFmtId="10" fontId="5" fillId="0" borderId="1" xfId="0" applyNumberFormat="1" applyFont="1" applyBorder="1" applyAlignment="1" applyProtection="1">
      <alignment horizontal="center" vertical="top" wrapText="1"/>
    </xf>
    <xf numFmtId="9" fontId="5" fillId="0" borderId="1" xfId="0" applyNumberFormat="1" applyFont="1" applyBorder="1" applyAlignment="1" applyProtection="1">
      <alignment horizontal="center" vertical="top" wrapText="1"/>
    </xf>
    <xf numFmtId="1" fontId="5" fillId="0" borderId="1" xfId="0" applyNumberFormat="1" applyFont="1" applyBorder="1" applyAlignment="1" applyProtection="1">
      <alignment horizontal="right" vertical="top" wrapText="1"/>
    </xf>
    <xf numFmtId="0" fontId="5" fillId="0" borderId="1" xfId="0" applyFont="1" applyBorder="1" applyAlignment="1" applyProtection="1">
      <alignment horizontal="justify" vertical="center" wrapText="1"/>
    </xf>
    <xf numFmtId="9" fontId="5" fillId="0" borderId="1" xfId="2" applyNumberFormat="1"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5" fillId="0" borderId="1" xfId="0" applyFont="1" applyFill="1" applyBorder="1" applyAlignment="1" applyProtection="1">
      <alignment horizontal="justify" vertical="top" wrapText="1"/>
    </xf>
    <xf numFmtId="0" fontId="10" fillId="0" borderId="1" xfId="0" applyFont="1" applyBorder="1" applyAlignment="1" applyProtection="1">
      <alignment horizontal="justify" vertical="top" wrapText="1"/>
    </xf>
    <xf numFmtId="0" fontId="6"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2"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justify"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2"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1" xfId="0" applyFont="1" applyFill="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justify"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100693</xdr:rowOff>
    </xdr:from>
    <xdr:to>
      <xdr:col>2</xdr:col>
      <xdr:colOff>423049</xdr:colOff>
      <xdr:row>0</xdr:row>
      <xdr:rowOff>911679</xdr:rowOff>
    </xdr:to>
    <xdr:pic>
      <xdr:nvPicPr>
        <xdr:cNvPr id="1028" name="Imagen 1">
          <a:extLst>
            <a:ext uri="{FF2B5EF4-FFF2-40B4-BE49-F238E27FC236}">
              <a16:creationId xmlns:a16="http://schemas.microsoft.com/office/drawing/2014/main" id="{34A31A3D-2D60-4FF3-8592-63E6F88AF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100693"/>
          <a:ext cx="2545764" cy="810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8"/>
  <sheetViews>
    <sheetView showGridLines="0" tabSelected="1" topLeftCell="A10" zoomScale="70" zoomScaleNormal="70" workbookViewId="0">
      <selection sqref="A1:K1"/>
    </sheetView>
  </sheetViews>
  <sheetFormatPr defaultColWidth="10.85546875" defaultRowHeight="15" zeroHeight="1"/>
  <cols>
    <col min="1" max="1" width="7.140625" style="1" customWidth="1"/>
    <col min="2" max="2" width="25.5703125" style="1" customWidth="1"/>
    <col min="3" max="3" width="13.85546875" style="1" customWidth="1"/>
    <col min="4" max="4" width="44.28515625" style="1" bestFit="1" customWidth="1"/>
    <col min="5" max="5" width="15.5703125" style="1" customWidth="1"/>
    <col min="6" max="6" width="14.140625" style="1" customWidth="1"/>
    <col min="7" max="7" width="15.85546875" style="1" customWidth="1"/>
    <col min="8" max="8" width="28.7109375" style="1" customWidth="1"/>
    <col min="9" max="9" width="8.140625" style="1" customWidth="1"/>
    <col min="10" max="10" width="21.85546875" style="1" customWidth="1"/>
    <col min="11" max="11" width="15.85546875" style="1" customWidth="1"/>
    <col min="12" max="15" width="7.28515625" style="1" customWidth="1"/>
    <col min="16" max="16" width="17.42578125" style="1" customWidth="1"/>
    <col min="17" max="21" width="17.85546875" style="1" customWidth="1"/>
    <col min="22" max="23" width="23.7109375" style="34" customWidth="1"/>
    <col min="24" max="24" width="16.5703125" style="34" customWidth="1"/>
    <col min="25" max="25" width="55.28515625" style="38" customWidth="1"/>
    <col min="26" max="26" width="23.7109375" style="38" customWidth="1"/>
    <col min="27" max="27" width="15.7109375" style="1" bestFit="1" customWidth="1"/>
    <col min="28" max="28" width="17.7109375" style="1" bestFit="1" customWidth="1"/>
    <col min="29" max="29" width="16.5703125" style="1" customWidth="1"/>
    <col min="30" max="30" width="68" style="73" customWidth="1"/>
    <col min="31" max="31" width="35.7109375" style="73" customWidth="1"/>
    <col min="32" max="36" width="16.5703125" style="1" hidden="1" customWidth="1"/>
    <col min="37" max="37" width="20.85546875" style="1" hidden="1" customWidth="1"/>
    <col min="38" max="41" width="16.5703125" style="1" hidden="1" customWidth="1"/>
    <col min="42" max="42" width="21.85546875" style="40" bestFit="1" customWidth="1"/>
    <col min="43" max="43" width="17.7109375" style="40" bestFit="1" customWidth="1"/>
    <col min="44" max="44" width="21.5703125" style="40" customWidth="1"/>
    <col min="45" max="45" width="57.140625" style="73" customWidth="1"/>
    <col min="46" max="16384" width="10.85546875" style="1"/>
  </cols>
  <sheetData>
    <row r="1" spans="1:45" ht="83.25" customHeight="1">
      <c r="A1" s="114" t="s">
        <v>0</v>
      </c>
      <c r="B1" s="115"/>
      <c r="C1" s="115"/>
      <c r="D1" s="115"/>
      <c r="E1" s="115"/>
      <c r="F1" s="115"/>
      <c r="G1" s="115"/>
      <c r="H1" s="115"/>
      <c r="I1" s="115"/>
      <c r="J1" s="115"/>
      <c r="K1" s="115"/>
      <c r="L1" s="116" t="s">
        <v>1</v>
      </c>
      <c r="M1" s="116"/>
      <c r="N1" s="116"/>
      <c r="O1" s="116"/>
      <c r="P1" s="116"/>
    </row>
    <row r="2" spans="1:45" s="2" customFormat="1" ht="23.45" customHeight="1">
      <c r="A2" s="117" t="s">
        <v>2</v>
      </c>
      <c r="B2" s="118"/>
      <c r="C2" s="118"/>
      <c r="D2" s="118"/>
      <c r="E2" s="118"/>
      <c r="F2" s="118"/>
      <c r="G2" s="118"/>
      <c r="H2" s="118"/>
      <c r="I2" s="118"/>
      <c r="J2" s="118"/>
      <c r="K2" s="118"/>
      <c r="L2" s="118"/>
      <c r="M2" s="118"/>
      <c r="N2" s="118"/>
      <c r="O2" s="118"/>
      <c r="P2" s="118"/>
      <c r="V2" s="34"/>
      <c r="W2" s="34"/>
      <c r="X2" s="34"/>
      <c r="Y2" s="38"/>
      <c r="Z2" s="38"/>
      <c r="AD2" s="74"/>
      <c r="AE2" s="74"/>
      <c r="AP2" s="41"/>
      <c r="AQ2" s="41"/>
      <c r="AR2" s="41"/>
      <c r="AS2" s="74"/>
    </row>
    <row r="3" spans="1:45"/>
    <row r="4" spans="1:45" ht="29.1" customHeight="1">
      <c r="A4" s="113" t="s">
        <v>3</v>
      </c>
      <c r="B4" s="113"/>
      <c r="C4" s="116" t="s">
        <v>4</v>
      </c>
      <c r="D4" s="116"/>
      <c r="F4" s="113" t="s">
        <v>5</v>
      </c>
      <c r="G4" s="113"/>
      <c r="H4" s="113"/>
      <c r="I4" s="113"/>
      <c r="J4" s="113"/>
      <c r="K4" s="113"/>
    </row>
    <row r="5" spans="1:45">
      <c r="A5" s="113"/>
      <c r="B5" s="113"/>
      <c r="C5" s="116"/>
      <c r="D5" s="116"/>
      <c r="F5" s="3" t="s">
        <v>6</v>
      </c>
      <c r="G5" s="3" t="s">
        <v>7</v>
      </c>
      <c r="H5" s="124" t="s">
        <v>8</v>
      </c>
      <c r="I5" s="124"/>
      <c r="J5" s="124"/>
      <c r="K5" s="124"/>
    </row>
    <row r="6" spans="1:45">
      <c r="A6" s="113"/>
      <c r="B6" s="113"/>
      <c r="C6" s="116"/>
      <c r="D6" s="116"/>
      <c r="F6" s="111">
        <v>1</v>
      </c>
      <c r="G6" s="111" t="s">
        <v>9</v>
      </c>
      <c r="H6" s="125" t="s">
        <v>10</v>
      </c>
      <c r="I6" s="125"/>
      <c r="J6" s="125"/>
      <c r="K6" s="125"/>
    </row>
    <row r="7" spans="1:45" ht="187.5" customHeight="1">
      <c r="A7" s="113"/>
      <c r="B7" s="113"/>
      <c r="C7" s="116"/>
      <c r="D7" s="116"/>
      <c r="F7" s="111">
        <v>2</v>
      </c>
      <c r="G7" s="111" t="s">
        <v>11</v>
      </c>
      <c r="H7" s="126" t="s">
        <v>12</v>
      </c>
      <c r="I7" s="126"/>
      <c r="J7" s="126"/>
      <c r="K7" s="126"/>
    </row>
    <row r="8" spans="1:45" ht="87" customHeight="1">
      <c r="A8" s="113"/>
      <c r="B8" s="113"/>
      <c r="C8" s="116"/>
      <c r="D8" s="116"/>
      <c r="F8" s="111">
        <v>3</v>
      </c>
      <c r="G8" s="111" t="s">
        <v>13</v>
      </c>
      <c r="H8" s="126" t="s">
        <v>14</v>
      </c>
      <c r="I8" s="126"/>
      <c r="J8" s="126"/>
      <c r="K8" s="126"/>
    </row>
    <row r="9" spans="1:45"/>
    <row r="10" spans="1:45" ht="14.45" customHeight="1">
      <c r="A10" s="113" t="s">
        <v>15</v>
      </c>
      <c r="B10" s="113"/>
      <c r="C10" s="113" t="s">
        <v>16</v>
      </c>
      <c r="D10" s="113" t="s">
        <v>17</v>
      </c>
      <c r="E10" s="113"/>
      <c r="F10" s="113"/>
      <c r="G10" s="113"/>
      <c r="H10" s="113"/>
      <c r="I10" s="113"/>
      <c r="J10" s="113"/>
      <c r="K10" s="113"/>
      <c r="L10" s="113"/>
      <c r="M10" s="113"/>
      <c r="N10" s="113"/>
      <c r="O10" s="113"/>
      <c r="P10" s="113"/>
      <c r="Q10" s="127" t="s">
        <v>18</v>
      </c>
      <c r="R10" s="127"/>
      <c r="S10" s="127"/>
      <c r="T10" s="127"/>
      <c r="U10" s="127"/>
      <c r="V10" s="122" t="s">
        <v>19</v>
      </c>
      <c r="W10" s="122"/>
      <c r="X10" s="122"/>
      <c r="Y10" s="123"/>
      <c r="Z10" s="123"/>
      <c r="AA10" s="128" t="s">
        <v>19</v>
      </c>
      <c r="AB10" s="128"/>
      <c r="AC10" s="128"/>
      <c r="AD10" s="128"/>
      <c r="AE10" s="129"/>
      <c r="AF10" s="130" t="s">
        <v>19</v>
      </c>
      <c r="AG10" s="130"/>
      <c r="AH10" s="130"/>
      <c r="AI10" s="130"/>
      <c r="AJ10" s="130"/>
      <c r="AK10" s="131" t="s">
        <v>19</v>
      </c>
      <c r="AL10" s="131"/>
      <c r="AM10" s="131"/>
      <c r="AN10" s="131"/>
      <c r="AO10" s="131"/>
      <c r="AP10" s="119" t="s">
        <v>20</v>
      </c>
      <c r="AQ10" s="120"/>
      <c r="AR10" s="120"/>
      <c r="AS10" s="121"/>
    </row>
    <row r="11" spans="1:45" ht="14.45" customHeight="1">
      <c r="A11" s="113"/>
      <c r="B11" s="113"/>
      <c r="C11" s="113"/>
      <c r="D11" s="113"/>
      <c r="E11" s="113"/>
      <c r="F11" s="113"/>
      <c r="G11" s="113"/>
      <c r="H11" s="113"/>
      <c r="I11" s="113"/>
      <c r="J11" s="113"/>
      <c r="K11" s="113"/>
      <c r="L11" s="113"/>
      <c r="M11" s="113"/>
      <c r="N11" s="113"/>
      <c r="O11" s="113"/>
      <c r="P11" s="113"/>
      <c r="Q11" s="127"/>
      <c r="R11" s="127"/>
      <c r="S11" s="127"/>
      <c r="T11" s="127"/>
      <c r="U11" s="127"/>
      <c r="V11" s="122" t="s">
        <v>21</v>
      </c>
      <c r="W11" s="122"/>
      <c r="X11" s="122"/>
      <c r="Y11" s="123"/>
      <c r="Z11" s="123"/>
      <c r="AA11" s="128" t="s">
        <v>22</v>
      </c>
      <c r="AB11" s="128"/>
      <c r="AC11" s="128"/>
      <c r="AD11" s="128"/>
      <c r="AE11" s="129"/>
      <c r="AF11" s="130" t="s">
        <v>23</v>
      </c>
      <c r="AG11" s="130"/>
      <c r="AH11" s="130"/>
      <c r="AI11" s="130"/>
      <c r="AJ11" s="130"/>
      <c r="AK11" s="131" t="s">
        <v>24</v>
      </c>
      <c r="AL11" s="131"/>
      <c r="AM11" s="131"/>
      <c r="AN11" s="131"/>
      <c r="AO11" s="131"/>
      <c r="AP11" s="119" t="s">
        <v>25</v>
      </c>
      <c r="AQ11" s="120"/>
      <c r="AR11" s="120"/>
      <c r="AS11" s="121"/>
    </row>
    <row r="12" spans="1:45" ht="60">
      <c r="A12" s="105" t="s">
        <v>26</v>
      </c>
      <c r="B12" s="105" t="s">
        <v>27</v>
      </c>
      <c r="C12" s="113"/>
      <c r="D12" s="105" t="s">
        <v>28</v>
      </c>
      <c r="E12" s="105" t="s">
        <v>29</v>
      </c>
      <c r="F12" s="105" t="s">
        <v>30</v>
      </c>
      <c r="G12" s="105" t="s">
        <v>31</v>
      </c>
      <c r="H12" s="105" t="s">
        <v>32</v>
      </c>
      <c r="I12" s="105" t="s">
        <v>33</v>
      </c>
      <c r="J12" s="105" t="s">
        <v>34</v>
      </c>
      <c r="K12" s="105" t="s">
        <v>35</v>
      </c>
      <c r="L12" s="105" t="s">
        <v>36</v>
      </c>
      <c r="M12" s="105" t="s">
        <v>37</v>
      </c>
      <c r="N12" s="105" t="s">
        <v>38</v>
      </c>
      <c r="O12" s="105" t="s">
        <v>39</v>
      </c>
      <c r="P12" s="105" t="s">
        <v>40</v>
      </c>
      <c r="Q12" s="106" t="s">
        <v>41</v>
      </c>
      <c r="R12" s="106" t="s">
        <v>42</v>
      </c>
      <c r="S12" s="106" t="s">
        <v>43</v>
      </c>
      <c r="T12" s="106" t="s">
        <v>44</v>
      </c>
      <c r="U12" s="106" t="s">
        <v>45</v>
      </c>
      <c r="V12" s="103" t="s">
        <v>46</v>
      </c>
      <c r="W12" s="103" t="s">
        <v>47</v>
      </c>
      <c r="X12" s="103" t="s">
        <v>48</v>
      </c>
      <c r="Y12" s="104" t="s">
        <v>49</v>
      </c>
      <c r="Z12" s="104" t="s">
        <v>50</v>
      </c>
      <c r="AA12" s="107" t="s">
        <v>46</v>
      </c>
      <c r="AB12" s="107" t="s">
        <v>47</v>
      </c>
      <c r="AC12" s="81" t="s">
        <v>48</v>
      </c>
      <c r="AD12" s="108" t="s">
        <v>49</v>
      </c>
      <c r="AE12" s="108" t="s">
        <v>50</v>
      </c>
      <c r="AF12" s="109" t="s">
        <v>46</v>
      </c>
      <c r="AG12" s="109" t="s">
        <v>47</v>
      </c>
      <c r="AH12" s="109" t="s">
        <v>48</v>
      </c>
      <c r="AI12" s="109" t="s">
        <v>49</v>
      </c>
      <c r="AJ12" s="109" t="s">
        <v>50</v>
      </c>
      <c r="AK12" s="110" t="s">
        <v>46</v>
      </c>
      <c r="AL12" s="110" t="s">
        <v>47</v>
      </c>
      <c r="AM12" s="110" t="s">
        <v>48</v>
      </c>
      <c r="AN12" s="110" t="s">
        <v>49</v>
      </c>
      <c r="AO12" s="110" t="s">
        <v>50</v>
      </c>
      <c r="AP12" s="31" t="s">
        <v>46</v>
      </c>
      <c r="AQ12" s="31" t="s">
        <v>47</v>
      </c>
      <c r="AR12" s="31" t="s">
        <v>48</v>
      </c>
      <c r="AS12" s="80" t="s">
        <v>51</v>
      </c>
    </row>
    <row r="13" spans="1:45" s="32" customFormat="1" ht="287.25" customHeight="1">
      <c r="A13" s="112">
        <v>4</v>
      </c>
      <c r="B13" s="112" t="s">
        <v>52</v>
      </c>
      <c r="C13" s="112" t="s">
        <v>53</v>
      </c>
      <c r="D13" s="112" t="s">
        <v>54</v>
      </c>
      <c r="E13" s="4">
        <f t="shared" ref="E13:E30" si="0">+(5.55555555555556%*80%)/100%</f>
        <v>4.4444444444444481E-2</v>
      </c>
      <c r="F13" s="112" t="s">
        <v>55</v>
      </c>
      <c r="G13" s="112" t="s">
        <v>56</v>
      </c>
      <c r="H13" s="112" t="s">
        <v>57</v>
      </c>
      <c r="I13" s="5">
        <v>6.6000000000000003E-2</v>
      </c>
      <c r="J13" s="112" t="s">
        <v>58</v>
      </c>
      <c r="K13" s="112" t="s">
        <v>59</v>
      </c>
      <c r="L13" s="6">
        <v>0</v>
      </c>
      <c r="M13" s="6">
        <v>0.02</v>
      </c>
      <c r="N13" s="6">
        <v>0.06</v>
      </c>
      <c r="O13" s="6">
        <v>0.1</v>
      </c>
      <c r="P13" s="6">
        <v>0.1</v>
      </c>
      <c r="Q13" s="112" t="s">
        <v>60</v>
      </c>
      <c r="R13" s="112" t="s">
        <v>61</v>
      </c>
      <c r="S13" s="112" t="s">
        <v>62</v>
      </c>
      <c r="T13" s="112" t="s">
        <v>63</v>
      </c>
      <c r="U13" s="112" t="s">
        <v>64</v>
      </c>
      <c r="V13" s="35" t="s">
        <v>65</v>
      </c>
      <c r="W13" s="35" t="s">
        <v>65</v>
      </c>
      <c r="X13" s="35" t="s">
        <v>65</v>
      </c>
      <c r="Y13" s="39" t="s">
        <v>66</v>
      </c>
      <c r="Z13" s="39" t="s">
        <v>65</v>
      </c>
      <c r="AA13" s="48">
        <v>6.0000000000000001E-3</v>
      </c>
      <c r="AB13" s="87">
        <v>6.0000000000000001E-3</v>
      </c>
      <c r="AC13" s="88">
        <f>IF(AB13/AA13&gt;100%,100%,AB13/AA13)</f>
        <v>1</v>
      </c>
      <c r="AD13" s="89" t="s">
        <v>67</v>
      </c>
      <c r="AE13" s="89" t="s">
        <v>68</v>
      </c>
      <c r="AF13" s="28">
        <f>N13</f>
        <v>0.06</v>
      </c>
      <c r="AG13" s="90"/>
      <c r="AH13" s="88">
        <f>IF(AG13/AF13&gt;100%,100%,AG13/AF13)</f>
        <v>0</v>
      </c>
      <c r="AI13" s="112"/>
      <c r="AJ13" s="112"/>
      <c r="AK13" s="28">
        <f>O13</f>
        <v>0.1</v>
      </c>
      <c r="AL13" s="90"/>
      <c r="AM13" s="88">
        <f>IF(AL13/AK13&gt;100%,100%,AL13/AK13)</f>
        <v>0</v>
      </c>
      <c r="AN13" s="112"/>
      <c r="AO13" s="112"/>
      <c r="AP13" s="35">
        <f>P13</f>
        <v>0.1</v>
      </c>
      <c r="AQ13" s="49">
        <v>6.0000000000000001E-3</v>
      </c>
      <c r="AR13" s="44">
        <f>AQ13/AP13</f>
        <v>0.06</v>
      </c>
      <c r="AS13" s="89" t="s">
        <v>67</v>
      </c>
    </row>
    <row r="14" spans="1:45" s="32" customFormat="1" ht="90">
      <c r="A14" s="112">
        <v>4</v>
      </c>
      <c r="B14" s="112" t="s">
        <v>52</v>
      </c>
      <c r="C14" s="112" t="s">
        <v>53</v>
      </c>
      <c r="D14" s="112" t="s">
        <v>69</v>
      </c>
      <c r="E14" s="4">
        <f t="shared" si="0"/>
        <v>4.4444444444444481E-2</v>
      </c>
      <c r="F14" s="112" t="s">
        <v>55</v>
      </c>
      <c r="G14" s="112" t="s">
        <v>70</v>
      </c>
      <c r="H14" s="112" t="s">
        <v>71</v>
      </c>
      <c r="I14" s="112" t="s">
        <v>72</v>
      </c>
      <c r="J14" s="112" t="s">
        <v>73</v>
      </c>
      <c r="K14" s="112" t="s">
        <v>59</v>
      </c>
      <c r="L14" s="6">
        <v>0</v>
      </c>
      <c r="M14" s="6">
        <v>0</v>
      </c>
      <c r="N14" s="6">
        <v>0</v>
      </c>
      <c r="O14" s="6">
        <v>0.15</v>
      </c>
      <c r="P14" s="6">
        <v>0.15</v>
      </c>
      <c r="Q14" s="112" t="s">
        <v>60</v>
      </c>
      <c r="R14" s="112" t="s">
        <v>74</v>
      </c>
      <c r="S14" s="112" t="s">
        <v>75</v>
      </c>
      <c r="T14" s="112" t="s">
        <v>63</v>
      </c>
      <c r="U14" s="112" t="s">
        <v>76</v>
      </c>
      <c r="V14" s="35" t="s">
        <v>65</v>
      </c>
      <c r="W14" s="35" t="s">
        <v>65</v>
      </c>
      <c r="X14" s="35" t="s">
        <v>65</v>
      </c>
      <c r="Y14" s="39" t="s">
        <v>66</v>
      </c>
      <c r="Z14" s="39" t="s">
        <v>65</v>
      </c>
      <c r="AA14" s="28" t="s">
        <v>65</v>
      </c>
      <c r="AB14" s="28" t="s">
        <v>65</v>
      </c>
      <c r="AC14" s="48" t="s">
        <v>65</v>
      </c>
      <c r="AD14" s="75" t="s">
        <v>77</v>
      </c>
      <c r="AE14" s="75" t="s">
        <v>65</v>
      </c>
      <c r="AF14" s="28">
        <f t="shared" ref="AF14:AF36" si="1">N14</f>
        <v>0</v>
      </c>
      <c r="AG14" s="90">
        <v>0</v>
      </c>
      <c r="AH14" s="88" t="e">
        <f>IF(AG14/AF14&gt;100%,100%,AG14/AF14)</f>
        <v>#DIV/0!</v>
      </c>
      <c r="AI14" s="112"/>
      <c r="AJ14" s="112"/>
      <c r="AK14" s="28">
        <f t="shared" ref="AK14:AK36" si="2">O14</f>
        <v>0.15</v>
      </c>
      <c r="AL14" s="90">
        <v>0</v>
      </c>
      <c r="AM14" s="88">
        <f>IF(AL14/AK14&gt;100%,100%,AL14/AK14)</f>
        <v>0</v>
      </c>
      <c r="AN14" s="112"/>
      <c r="AO14" s="112"/>
      <c r="AP14" s="35">
        <f t="shared" ref="AP14:AP36" si="3">P14</f>
        <v>0.15</v>
      </c>
      <c r="AQ14" s="35">
        <v>0</v>
      </c>
      <c r="AR14" s="44">
        <v>0</v>
      </c>
      <c r="AS14" s="39" t="s">
        <v>78</v>
      </c>
    </row>
    <row r="15" spans="1:45" s="56" customFormat="1" ht="255">
      <c r="A15" s="8">
        <v>4</v>
      </c>
      <c r="B15" s="8" t="s">
        <v>52</v>
      </c>
      <c r="C15" s="8" t="s">
        <v>53</v>
      </c>
      <c r="D15" s="8" t="s">
        <v>79</v>
      </c>
      <c r="E15" s="52">
        <f t="shared" si="0"/>
        <v>4.4444444444444481E-2</v>
      </c>
      <c r="F15" s="8" t="s">
        <v>80</v>
      </c>
      <c r="G15" s="8" t="s">
        <v>81</v>
      </c>
      <c r="H15" s="8" t="s">
        <v>82</v>
      </c>
      <c r="I15" s="8" t="s">
        <v>72</v>
      </c>
      <c r="J15" s="8" t="s">
        <v>58</v>
      </c>
      <c r="K15" s="8" t="s">
        <v>59</v>
      </c>
      <c r="L15" s="53">
        <v>0.05</v>
      </c>
      <c r="M15" s="53">
        <v>0.4</v>
      </c>
      <c r="N15" s="53">
        <v>0.8</v>
      </c>
      <c r="O15" s="53">
        <v>1</v>
      </c>
      <c r="P15" s="53">
        <v>1</v>
      </c>
      <c r="Q15" s="8" t="s">
        <v>60</v>
      </c>
      <c r="R15" s="8" t="s">
        <v>83</v>
      </c>
      <c r="S15" s="8" t="s">
        <v>84</v>
      </c>
      <c r="T15" s="8" t="s">
        <v>63</v>
      </c>
      <c r="U15" s="8" t="s">
        <v>85</v>
      </c>
      <c r="V15" s="54">
        <f t="shared" ref="V15:V30" si="4">L15</f>
        <v>0.05</v>
      </c>
      <c r="W15" s="91">
        <v>0.06</v>
      </c>
      <c r="X15" s="91">
        <v>1</v>
      </c>
      <c r="Y15" s="92" t="s">
        <v>86</v>
      </c>
      <c r="Z15" s="92" t="s">
        <v>87</v>
      </c>
      <c r="AA15" s="55">
        <f t="shared" ref="AA15:AA36" si="5">M15</f>
        <v>0.4</v>
      </c>
      <c r="AB15" s="93">
        <v>0.16220000000000001</v>
      </c>
      <c r="AC15" s="94">
        <f t="shared" ref="AC15:AC29" si="6">IF(AB15/AA15&gt;100%,100%,AB15/AA15)</f>
        <v>0.40550000000000003</v>
      </c>
      <c r="AD15" s="76" t="s">
        <v>88</v>
      </c>
      <c r="AE15" s="76" t="s">
        <v>89</v>
      </c>
      <c r="AF15" s="55">
        <f t="shared" si="1"/>
        <v>0.8</v>
      </c>
      <c r="AG15" s="93"/>
      <c r="AH15" s="94">
        <f t="shared" ref="AH15:AH29" si="7">IF(AG15/AF15&gt;100%,100%,AG15/AF15)</f>
        <v>0</v>
      </c>
      <c r="AI15" s="8"/>
      <c r="AJ15" s="8"/>
      <c r="AK15" s="55">
        <f t="shared" si="2"/>
        <v>1</v>
      </c>
      <c r="AL15" s="93"/>
      <c r="AM15" s="94">
        <f t="shared" ref="AM15:AM29" si="8">IF(AL15/AK15&gt;100%,100%,AL15/AK15)</f>
        <v>0</v>
      </c>
      <c r="AN15" s="8"/>
      <c r="AO15" s="8"/>
      <c r="AP15" s="54">
        <f t="shared" si="3"/>
        <v>1</v>
      </c>
      <c r="AQ15" s="54">
        <v>0.16220000000000001</v>
      </c>
      <c r="AR15" s="85">
        <v>0.06</v>
      </c>
      <c r="AS15" s="92" t="s">
        <v>90</v>
      </c>
    </row>
    <row r="16" spans="1:45" s="32" customFormat="1" ht="155.25" customHeight="1">
      <c r="A16" s="112">
        <v>4</v>
      </c>
      <c r="B16" s="112" t="s">
        <v>52</v>
      </c>
      <c r="C16" s="112" t="s">
        <v>91</v>
      </c>
      <c r="D16" s="112" t="s">
        <v>92</v>
      </c>
      <c r="E16" s="4">
        <f t="shared" si="0"/>
        <v>4.4444444444444481E-2</v>
      </c>
      <c r="F16" s="112" t="s">
        <v>55</v>
      </c>
      <c r="G16" s="112" t="s">
        <v>93</v>
      </c>
      <c r="H16" s="112" t="s">
        <v>94</v>
      </c>
      <c r="I16" s="6">
        <v>0.5</v>
      </c>
      <c r="J16" s="112" t="s">
        <v>58</v>
      </c>
      <c r="K16" s="112" t="s">
        <v>59</v>
      </c>
      <c r="L16" s="6">
        <v>0.15</v>
      </c>
      <c r="M16" s="6">
        <v>0.3</v>
      </c>
      <c r="N16" s="7">
        <v>0.45</v>
      </c>
      <c r="O16" s="7">
        <v>0.6</v>
      </c>
      <c r="P16" s="6">
        <v>0.6</v>
      </c>
      <c r="Q16" s="112" t="s">
        <v>95</v>
      </c>
      <c r="R16" s="112" t="s">
        <v>96</v>
      </c>
      <c r="S16" s="112" t="s">
        <v>97</v>
      </c>
      <c r="T16" s="112" t="s">
        <v>63</v>
      </c>
      <c r="U16" s="112" t="s">
        <v>98</v>
      </c>
      <c r="V16" s="35">
        <f t="shared" si="4"/>
        <v>0.15</v>
      </c>
      <c r="W16" s="95">
        <v>0.14649999999999999</v>
      </c>
      <c r="X16" s="96">
        <f>W16/V16</f>
        <v>0.97666666666666668</v>
      </c>
      <c r="Y16" s="89" t="s">
        <v>99</v>
      </c>
      <c r="Z16" s="89" t="s">
        <v>100</v>
      </c>
      <c r="AA16" s="28">
        <f t="shared" si="5"/>
        <v>0.3</v>
      </c>
      <c r="AB16" s="87">
        <v>0.3343341150248606</v>
      </c>
      <c r="AC16" s="88">
        <f t="shared" si="6"/>
        <v>1</v>
      </c>
      <c r="AD16" s="89" t="s">
        <v>101</v>
      </c>
      <c r="AE16" s="75" t="s">
        <v>102</v>
      </c>
      <c r="AF16" s="28">
        <f t="shared" si="1"/>
        <v>0.45</v>
      </c>
      <c r="AG16" s="90"/>
      <c r="AH16" s="88">
        <f t="shared" si="7"/>
        <v>0</v>
      </c>
      <c r="AI16" s="112"/>
      <c r="AJ16" s="112"/>
      <c r="AK16" s="28">
        <f t="shared" si="2"/>
        <v>0.6</v>
      </c>
      <c r="AL16" s="90"/>
      <c r="AM16" s="88">
        <f t="shared" si="8"/>
        <v>0</v>
      </c>
      <c r="AN16" s="112"/>
      <c r="AO16" s="112"/>
      <c r="AP16" s="35">
        <f t="shared" si="3"/>
        <v>0.6</v>
      </c>
      <c r="AQ16" s="87">
        <v>0.3343341150248606</v>
      </c>
      <c r="AR16" s="44">
        <f>AQ16/AP16</f>
        <v>0.55722352504143435</v>
      </c>
      <c r="AS16" s="89" t="s">
        <v>103</v>
      </c>
    </row>
    <row r="17" spans="1:45" s="32" customFormat="1" ht="105">
      <c r="A17" s="112">
        <v>4</v>
      </c>
      <c r="B17" s="112" t="s">
        <v>52</v>
      </c>
      <c r="C17" s="112" t="s">
        <v>91</v>
      </c>
      <c r="D17" s="112" t="s">
        <v>104</v>
      </c>
      <c r="E17" s="4">
        <f t="shared" si="0"/>
        <v>4.4444444444444481E-2</v>
      </c>
      <c r="F17" s="112" t="s">
        <v>55</v>
      </c>
      <c r="G17" s="112" t="s">
        <v>105</v>
      </c>
      <c r="H17" s="112" t="s">
        <v>106</v>
      </c>
      <c r="I17" s="6">
        <v>0.6</v>
      </c>
      <c r="J17" s="112" t="s">
        <v>58</v>
      </c>
      <c r="K17" s="112" t="s">
        <v>59</v>
      </c>
      <c r="L17" s="6">
        <v>0.15</v>
      </c>
      <c r="M17" s="6">
        <v>0.3</v>
      </c>
      <c r="N17" s="7">
        <v>0.45</v>
      </c>
      <c r="O17" s="7">
        <v>0.6</v>
      </c>
      <c r="P17" s="6">
        <v>0.6</v>
      </c>
      <c r="Q17" s="112" t="s">
        <v>95</v>
      </c>
      <c r="R17" s="112" t="s">
        <v>96</v>
      </c>
      <c r="S17" s="112" t="s">
        <v>97</v>
      </c>
      <c r="T17" s="112" t="s">
        <v>63</v>
      </c>
      <c r="U17" s="112" t="s">
        <v>98</v>
      </c>
      <c r="V17" s="35">
        <f t="shared" si="4"/>
        <v>0.15</v>
      </c>
      <c r="W17" s="95">
        <v>0.151</v>
      </c>
      <c r="X17" s="96">
        <v>1</v>
      </c>
      <c r="Y17" s="89" t="s">
        <v>107</v>
      </c>
      <c r="Z17" s="89" t="s">
        <v>100</v>
      </c>
      <c r="AA17" s="28">
        <f t="shared" si="5"/>
        <v>0.3</v>
      </c>
      <c r="AB17" s="87">
        <v>0.40579999999999999</v>
      </c>
      <c r="AC17" s="88">
        <f>IF(AB17/AA17&gt;100%,100%,AB17/AA17)</f>
        <v>1</v>
      </c>
      <c r="AD17" s="89" t="s">
        <v>108</v>
      </c>
      <c r="AE17" s="89" t="s">
        <v>109</v>
      </c>
      <c r="AF17" s="28">
        <f t="shared" si="1"/>
        <v>0.45</v>
      </c>
      <c r="AG17" s="90"/>
      <c r="AH17" s="88">
        <f t="shared" si="7"/>
        <v>0</v>
      </c>
      <c r="AI17" s="112"/>
      <c r="AJ17" s="112"/>
      <c r="AK17" s="28">
        <f t="shared" si="2"/>
        <v>0.6</v>
      </c>
      <c r="AL17" s="90"/>
      <c r="AM17" s="88">
        <f t="shared" si="8"/>
        <v>0</v>
      </c>
      <c r="AN17" s="112"/>
      <c r="AO17" s="112"/>
      <c r="AP17" s="35">
        <f t="shared" si="3"/>
        <v>0.6</v>
      </c>
      <c r="AQ17" s="44">
        <v>0.40579999999999999</v>
      </c>
      <c r="AR17" s="44">
        <f>AQ17/AP17</f>
        <v>0.67633333333333334</v>
      </c>
      <c r="AS17" s="89" t="s">
        <v>108</v>
      </c>
    </row>
    <row r="18" spans="1:45" s="32" customFormat="1" ht="120">
      <c r="A18" s="112">
        <v>4</v>
      </c>
      <c r="B18" s="112" t="s">
        <v>52</v>
      </c>
      <c r="C18" s="112" t="s">
        <v>91</v>
      </c>
      <c r="D18" s="112" t="s">
        <v>110</v>
      </c>
      <c r="E18" s="4">
        <f t="shared" si="0"/>
        <v>4.4444444444444481E-2</v>
      </c>
      <c r="F18" s="112" t="s">
        <v>80</v>
      </c>
      <c r="G18" s="112" t="s">
        <v>111</v>
      </c>
      <c r="H18" s="112" t="s">
        <v>112</v>
      </c>
      <c r="I18" s="112"/>
      <c r="J18" s="112" t="s">
        <v>58</v>
      </c>
      <c r="K18" s="112" t="s">
        <v>59</v>
      </c>
      <c r="L18" s="6">
        <v>0.1</v>
      </c>
      <c r="M18" s="6">
        <v>0.25</v>
      </c>
      <c r="N18" s="6">
        <v>0.6</v>
      </c>
      <c r="O18" s="6">
        <v>0.95</v>
      </c>
      <c r="P18" s="6">
        <v>0.95</v>
      </c>
      <c r="Q18" s="112" t="s">
        <v>95</v>
      </c>
      <c r="R18" s="112" t="s">
        <v>96</v>
      </c>
      <c r="S18" s="112" t="s">
        <v>97</v>
      </c>
      <c r="T18" s="112" t="s">
        <v>63</v>
      </c>
      <c r="U18" s="112" t="s">
        <v>113</v>
      </c>
      <c r="V18" s="35">
        <f t="shared" si="4"/>
        <v>0.1</v>
      </c>
      <c r="W18" s="96">
        <v>0.25459999999999999</v>
      </c>
      <c r="X18" s="96">
        <v>1</v>
      </c>
      <c r="Y18" s="89" t="s">
        <v>114</v>
      </c>
      <c r="Z18" s="89" t="s">
        <v>100</v>
      </c>
      <c r="AA18" s="28">
        <f t="shared" si="5"/>
        <v>0.25</v>
      </c>
      <c r="AB18" s="87">
        <v>0.35949999999999999</v>
      </c>
      <c r="AC18" s="88">
        <f t="shared" si="6"/>
        <v>1</v>
      </c>
      <c r="AD18" s="75" t="s">
        <v>115</v>
      </c>
      <c r="AE18" s="75" t="s">
        <v>116</v>
      </c>
      <c r="AF18" s="28">
        <f t="shared" si="1"/>
        <v>0.6</v>
      </c>
      <c r="AG18" s="90"/>
      <c r="AH18" s="88">
        <f t="shared" si="7"/>
        <v>0</v>
      </c>
      <c r="AI18" s="112"/>
      <c r="AJ18" s="112"/>
      <c r="AK18" s="28">
        <f t="shared" si="2"/>
        <v>0.95</v>
      </c>
      <c r="AL18" s="90"/>
      <c r="AM18" s="88">
        <f t="shared" si="8"/>
        <v>0</v>
      </c>
      <c r="AN18" s="112"/>
      <c r="AO18" s="112"/>
      <c r="AP18" s="35">
        <f t="shared" si="3"/>
        <v>0.95</v>
      </c>
      <c r="AQ18" s="87">
        <v>0.35949999999999999</v>
      </c>
      <c r="AR18" s="44">
        <f t="shared" ref="AR18:AR30" si="9">AQ18/AP18</f>
        <v>0.37842105263157894</v>
      </c>
      <c r="AS18" s="89" t="s">
        <v>117</v>
      </c>
    </row>
    <row r="19" spans="1:45" s="32" customFormat="1" ht="75">
      <c r="A19" s="112">
        <v>4</v>
      </c>
      <c r="B19" s="112" t="s">
        <v>52</v>
      </c>
      <c r="C19" s="112" t="s">
        <v>91</v>
      </c>
      <c r="D19" s="112" t="s">
        <v>118</v>
      </c>
      <c r="E19" s="4">
        <f t="shared" si="0"/>
        <v>4.4444444444444481E-2</v>
      </c>
      <c r="F19" s="112" t="s">
        <v>55</v>
      </c>
      <c r="G19" s="112" t="s">
        <v>119</v>
      </c>
      <c r="H19" s="112" t="s">
        <v>120</v>
      </c>
      <c r="I19" s="112"/>
      <c r="J19" s="112" t="s">
        <v>58</v>
      </c>
      <c r="K19" s="112" t="s">
        <v>59</v>
      </c>
      <c r="L19" s="6">
        <v>0.03</v>
      </c>
      <c r="M19" s="6">
        <v>0.08</v>
      </c>
      <c r="N19" s="6">
        <v>0.19</v>
      </c>
      <c r="O19" s="6">
        <v>0.4</v>
      </c>
      <c r="P19" s="6">
        <v>0.4</v>
      </c>
      <c r="Q19" s="112" t="s">
        <v>95</v>
      </c>
      <c r="R19" s="112" t="s">
        <v>96</v>
      </c>
      <c r="S19" s="112" t="s">
        <v>97</v>
      </c>
      <c r="T19" s="112" t="s">
        <v>63</v>
      </c>
      <c r="U19" s="112" t="s">
        <v>113</v>
      </c>
      <c r="V19" s="35">
        <f t="shared" si="4"/>
        <v>0.03</v>
      </c>
      <c r="W19" s="96">
        <v>0.14000000000000001</v>
      </c>
      <c r="X19" s="96">
        <v>1</v>
      </c>
      <c r="Y19" s="89" t="s">
        <v>121</v>
      </c>
      <c r="Z19" s="89" t="s">
        <v>100</v>
      </c>
      <c r="AA19" s="28">
        <f t="shared" si="5"/>
        <v>0.08</v>
      </c>
      <c r="AB19" s="87">
        <v>0.21479999999999999</v>
      </c>
      <c r="AC19" s="88">
        <f t="shared" si="6"/>
        <v>1</v>
      </c>
      <c r="AD19" s="89" t="s">
        <v>122</v>
      </c>
      <c r="AE19" s="89" t="s">
        <v>123</v>
      </c>
      <c r="AF19" s="28">
        <f t="shared" si="1"/>
        <v>0.19</v>
      </c>
      <c r="AG19" s="90"/>
      <c r="AH19" s="88">
        <f t="shared" si="7"/>
        <v>0</v>
      </c>
      <c r="AI19" s="112"/>
      <c r="AJ19" s="112"/>
      <c r="AK19" s="28">
        <f t="shared" si="2"/>
        <v>0.4</v>
      </c>
      <c r="AL19" s="90"/>
      <c r="AM19" s="88">
        <f t="shared" si="8"/>
        <v>0</v>
      </c>
      <c r="AN19" s="112"/>
      <c r="AO19" s="112"/>
      <c r="AP19" s="35">
        <f t="shared" si="3"/>
        <v>0.4</v>
      </c>
      <c r="AQ19" s="44">
        <v>0.21479999999999999</v>
      </c>
      <c r="AR19" s="44">
        <f t="shared" si="9"/>
        <v>0.53699999999999992</v>
      </c>
      <c r="AS19" s="89" t="s">
        <v>122</v>
      </c>
    </row>
    <row r="20" spans="1:45" s="32" customFormat="1" ht="105">
      <c r="A20" s="112">
        <v>4</v>
      </c>
      <c r="B20" s="112" t="s">
        <v>52</v>
      </c>
      <c r="C20" s="112" t="s">
        <v>91</v>
      </c>
      <c r="D20" s="112" t="s">
        <v>124</v>
      </c>
      <c r="E20" s="4">
        <f t="shared" si="0"/>
        <v>4.4444444444444481E-2</v>
      </c>
      <c r="F20" s="112" t="s">
        <v>80</v>
      </c>
      <c r="G20" s="112" t="s">
        <v>125</v>
      </c>
      <c r="H20" s="112" t="s">
        <v>126</v>
      </c>
      <c r="I20" s="112"/>
      <c r="J20" s="112" t="s">
        <v>73</v>
      </c>
      <c r="K20" s="112" t="s">
        <v>59</v>
      </c>
      <c r="L20" s="6">
        <v>0.95</v>
      </c>
      <c r="M20" s="6">
        <v>0.95</v>
      </c>
      <c r="N20" s="6">
        <v>0.95</v>
      </c>
      <c r="O20" s="6">
        <v>0.95</v>
      </c>
      <c r="P20" s="6">
        <v>0.95</v>
      </c>
      <c r="Q20" s="112" t="s">
        <v>95</v>
      </c>
      <c r="R20" s="112" t="s">
        <v>96</v>
      </c>
      <c r="S20" s="112" t="s">
        <v>127</v>
      </c>
      <c r="T20" s="112" t="s">
        <v>63</v>
      </c>
      <c r="U20" s="8" t="s">
        <v>128</v>
      </c>
      <c r="V20" s="35">
        <f t="shared" si="4"/>
        <v>0.95</v>
      </c>
      <c r="W20" s="95">
        <v>0.42699999999999999</v>
      </c>
      <c r="X20" s="95">
        <f>W20/V20</f>
        <v>0.4494736842105263</v>
      </c>
      <c r="Y20" s="89" t="s">
        <v>129</v>
      </c>
      <c r="Z20" s="89" t="s">
        <v>130</v>
      </c>
      <c r="AA20" s="28">
        <f t="shared" si="5"/>
        <v>0.95</v>
      </c>
      <c r="AB20" s="87">
        <v>0.93969999999999998</v>
      </c>
      <c r="AC20" s="88">
        <f t="shared" si="6"/>
        <v>0.98915789473684212</v>
      </c>
      <c r="AD20" s="89" t="s">
        <v>131</v>
      </c>
      <c r="AE20" s="89" t="s">
        <v>123</v>
      </c>
      <c r="AF20" s="28">
        <f t="shared" si="1"/>
        <v>0.95</v>
      </c>
      <c r="AG20" s="90"/>
      <c r="AH20" s="88">
        <f t="shared" si="7"/>
        <v>0</v>
      </c>
      <c r="AI20" s="112"/>
      <c r="AJ20" s="112"/>
      <c r="AK20" s="28">
        <f t="shared" si="2"/>
        <v>0.95</v>
      </c>
      <c r="AL20" s="90"/>
      <c r="AM20" s="88">
        <f t="shared" si="8"/>
        <v>0</v>
      </c>
      <c r="AN20" s="112"/>
      <c r="AO20" s="112"/>
      <c r="AP20" s="35">
        <f t="shared" si="3"/>
        <v>0.95</v>
      </c>
      <c r="AQ20" s="44">
        <f>(42.7%*25%)+(93.97%*25%)</f>
        <v>0.34167500000000001</v>
      </c>
      <c r="AR20" s="44">
        <f t="shared" si="9"/>
        <v>0.35965789473684212</v>
      </c>
      <c r="AS20" s="89" t="s">
        <v>132</v>
      </c>
    </row>
    <row r="21" spans="1:45" s="32" customFormat="1" ht="111.75" customHeight="1">
      <c r="A21" s="112">
        <v>4</v>
      </c>
      <c r="B21" s="112" t="s">
        <v>52</v>
      </c>
      <c r="C21" s="112" t="s">
        <v>91</v>
      </c>
      <c r="D21" s="112" t="s">
        <v>133</v>
      </c>
      <c r="E21" s="4">
        <f t="shared" si="0"/>
        <v>4.4444444444444481E-2</v>
      </c>
      <c r="F21" s="112" t="s">
        <v>55</v>
      </c>
      <c r="G21" s="112" t="s">
        <v>134</v>
      </c>
      <c r="H21" s="112" t="s">
        <v>135</v>
      </c>
      <c r="I21" s="112"/>
      <c r="J21" s="112" t="s">
        <v>73</v>
      </c>
      <c r="K21" s="112" t="s">
        <v>59</v>
      </c>
      <c r="L21" s="6">
        <v>1</v>
      </c>
      <c r="M21" s="6">
        <v>1</v>
      </c>
      <c r="N21" s="6">
        <v>1</v>
      </c>
      <c r="O21" s="6">
        <v>1</v>
      </c>
      <c r="P21" s="6">
        <v>1</v>
      </c>
      <c r="Q21" s="112" t="s">
        <v>95</v>
      </c>
      <c r="R21" s="8" t="s">
        <v>96</v>
      </c>
      <c r="S21" s="8" t="s">
        <v>136</v>
      </c>
      <c r="T21" s="8" t="s">
        <v>63</v>
      </c>
      <c r="U21" s="8" t="s">
        <v>137</v>
      </c>
      <c r="V21" s="35">
        <f t="shared" si="4"/>
        <v>1</v>
      </c>
      <c r="W21" s="95">
        <v>0.314</v>
      </c>
      <c r="X21" s="95">
        <f>W21/V21</f>
        <v>0.314</v>
      </c>
      <c r="Y21" s="89" t="s">
        <v>138</v>
      </c>
      <c r="Z21" s="89" t="s">
        <v>139</v>
      </c>
      <c r="AA21" s="28">
        <f t="shared" si="5"/>
        <v>1</v>
      </c>
      <c r="AB21" s="90">
        <v>1</v>
      </c>
      <c r="AC21" s="88">
        <f t="shared" si="6"/>
        <v>1</v>
      </c>
      <c r="AD21" s="89" t="s">
        <v>140</v>
      </c>
      <c r="AE21" s="89" t="s">
        <v>123</v>
      </c>
      <c r="AF21" s="28">
        <f t="shared" si="1"/>
        <v>1</v>
      </c>
      <c r="AG21" s="90"/>
      <c r="AH21" s="88">
        <f t="shared" si="7"/>
        <v>0</v>
      </c>
      <c r="AI21" s="112"/>
      <c r="AJ21" s="112"/>
      <c r="AK21" s="28">
        <f t="shared" si="2"/>
        <v>1</v>
      </c>
      <c r="AL21" s="90"/>
      <c r="AM21" s="88">
        <f t="shared" si="8"/>
        <v>0</v>
      </c>
      <c r="AN21" s="112"/>
      <c r="AO21" s="112"/>
      <c r="AP21" s="35">
        <f t="shared" si="3"/>
        <v>1</v>
      </c>
      <c r="AQ21" s="44">
        <f>(31.4%*25%)+(100%*25%)</f>
        <v>0.32850000000000001</v>
      </c>
      <c r="AR21" s="44">
        <f t="shared" si="9"/>
        <v>0.32850000000000001</v>
      </c>
      <c r="AS21" s="89" t="s">
        <v>141</v>
      </c>
    </row>
    <row r="22" spans="1:45" s="32" customFormat="1" ht="105">
      <c r="A22" s="112">
        <v>4</v>
      </c>
      <c r="B22" s="112" t="s">
        <v>52</v>
      </c>
      <c r="C22" s="112" t="s">
        <v>91</v>
      </c>
      <c r="D22" s="112" t="s">
        <v>142</v>
      </c>
      <c r="E22" s="4">
        <f t="shared" si="0"/>
        <v>4.4444444444444481E-2</v>
      </c>
      <c r="F22" s="112" t="s">
        <v>55</v>
      </c>
      <c r="G22" s="112" t="s">
        <v>143</v>
      </c>
      <c r="H22" s="112" t="s">
        <v>144</v>
      </c>
      <c r="I22" s="112"/>
      <c r="J22" s="112" t="s">
        <v>73</v>
      </c>
      <c r="K22" s="112" t="s">
        <v>59</v>
      </c>
      <c r="L22" s="6">
        <v>0.95</v>
      </c>
      <c r="M22" s="6">
        <v>0.95</v>
      </c>
      <c r="N22" s="6">
        <v>0.95</v>
      </c>
      <c r="O22" s="6">
        <v>0.95</v>
      </c>
      <c r="P22" s="6">
        <v>0.95</v>
      </c>
      <c r="Q22" s="112" t="s">
        <v>95</v>
      </c>
      <c r="R22" s="112" t="s">
        <v>145</v>
      </c>
      <c r="S22" s="112" t="s">
        <v>146</v>
      </c>
      <c r="T22" s="112" t="s">
        <v>63</v>
      </c>
      <c r="U22" s="112" t="s">
        <v>146</v>
      </c>
      <c r="V22" s="35">
        <f t="shared" si="4"/>
        <v>0.95</v>
      </c>
      <c r="W22" s="96">
        <v>0.4</v>
      </c>
      <c r="X22" s="95">
        <f>W22/V22</f>
        <v>0.4210526315789474</v>
      </c>
      <c r="Y22" s="89" t="s">
        <v>147</v>
      </c>
      <c r="Z22" s="89" t="s">
        <v>139</v>
      </c>
      <c r="AA22" s="28">
        <f t="shared" si="5"/>
        <v>0.95</v>
      </c>
      <c r="AB22" s="90">
        <v>0.73</v>
      </c>
      <c r="AC22" s="88">
        <f t="shared" si="6"/>
        <v>0.768421052631579</v>
      </c>
      <c r="AD22" s="75" t="s">
        <v>148</v>
      </c>
      <c r="AE22" s="75" t="s">
        <v>149</v>
      </c>
      <c r="AF22" s="28">
        <f t="shared" si="1"/>
        <v>0.95</v>
      </c>
      <c r="AG22" s="90"/>
      <c r="AH22" s="88">
        <f t="shared" si="7"/>
        <v>0</v>
      </c>
      <c r="AI22" s="112"/>
      <c r="AJ22" s="112"/>
      <c r="AK22" s="28">
        <f t="shared" si="2"/>
        <v>0.95</v>
      </c>
      <c r="AL22" s="90"/>
      <c r="AM22" s="88">
        <f t="shared" si="8"/>
        <v>0</v>
      </c>
      <c r="AN22" s="112"/>
      <c r="AO22" s="112"/>
      <c r="AP22" s="35">
        <f t="shared" si="3"/>
        <v>0.95</v>
      </c>
      <c r="AQ22" s="35">
        <f>(40%*25%)+(73%*25%)</f>
        <v>0.28249999999999997</v>
      </c>
      <c r="AR22" s="44">
        <f>AQ22/AP22</f>
        <v>0.29736842105263156</v>
      </c>
      <c r="AS22" s="75" t="s">
        <v>148</v>
      </c>
    </row>
    <row r="23" spans="1:45" s="32" customFormat="1" ht="93" customHeight="1">
      <c r="A23" s="112">
        <v>4</v>
      </c>
      <c r="B23" s="112" t="s">
        <v>52</v>
      </c>
      <c r="C23" s="112" t="s">
        <v>150</v>
      </c>
      <c r="D23" s="112" t="s">
        <v>151</v>
      </c>
      <c r="E23" s="4">
        <f t="shared" si="0"/>
        <v>4.4444444444444481E-2</v>
      </c>
      <c r="F23" s="112" t="s">
        <v>80</v>
      </c>
      <c r="G23" s="112" t="s">
        <v>152</v>
      </c>
      <c r="H23" s="112" t="s">
        <v>153</v>
      </c>
      <c r="I23" s="112"/>
      <c r="J23" s="112" t="s">
        <v>154</v>
      </c>
      <c r="K23" s="112" t="s">
        <v>155</v>
      </c>
      <c r="L23" s="9">
        <v>1920</v>
      </c>
      <c r="M23" s="9">
        <v>1920</v>
      </c>
      <c r="N23" s="9">
        <v>1920</v>
      </c>
      <c r="O23" s="9">
        <v>1920</v>
      </c>
      <c r="P23" s="10">
        <f>SUM(L23:O23)</f>
        <v>7680</v>
      </c>
      <c r="Q23" s="112" t="s">
        <v>95</v>
      </c>
      <c r="R23" s="112" t="s">
        <v>156</v>
      </c>
      <c r="S23" s="112" t="s">
        <v>157</v>
      </c>
      <c r="T23" s="112" t="s">
        <v>63</v>
      </c>
      <c r="U23" s="112" t="s">
        <v>157</v>
      </c>
      <c r="V23" s="36">
        <f t="shared" si="4"/>
        <v>1920</v>
      </c>
      <c r="W23" s="36">
        <v>1529</v>
      </c>
      <c r="X23" s="96">
        <f>W23/V23</f>
        <v>0.7963541666666667</v>
      </c>
      <c r="Y23" s="89" t="s">
        <v>158</v>
      </c>
      <c r="Z23" s="89" t="s">
        <v>159</v>
      </c>
      <c r="AA23" s="9">
        <f t="shared" si="5"/>
        <v>1920</v>
      </c>
      <c r="AB23" s="97">
        <v>1910</v>
      </c>
      <c r="AC23" s="88">
        <f t="shared" si="6"/>
        <v>0.99479166666666663</v>
      </c>
      <c r="AD23" s="89" t="s">
        <v>160</v>
      </c>
      <c r="AE23" s="98" t="s">
        <v>161</v>
      </c>
      <c r="AF23" s="9">
        <f t="shared" si="1"/>
        <v>1920</v>
      </c>
      <c r="AG23" s="97"/>
      <c r="AH23" s="88">
        <f t="shared" si="7"/>
        <v>0</v>
      </c>
      <c r="AI23" s="112"/>
      <c r="AJ23" s="112"/>
      <c r="AK23" s="33">
        <f t="shared" si="2"/>
        <v>1920</v>
      </c>
      <c r="AL23" s="97"/>
      <c r="AM23" s="88">
        <f t="shared" si="8"/>
        <v>0</v>
      </c>
      <c r="AN23" s="112"/>
      <c r="AO23" s="112"/>
      <c r="AP23" s="36">
        <f t="shared" si="3"/>
        <v>7680</v>
      </c>
      <c r="AQ23" s="42">
        <f>1529+1910</f>
        <v>3439</v>
      </c>
      <c r="AR23" s="44">
        <f t="shared" si="9"/>
        <v>0.44778645833333336</v>
      </c>
      <c r="AS23" s="89" t="s">
        <v>162</v>
      </c>
    </row>
    <row r="24" spans="1:45" s="32" customFormat="1" ht="135">
      <c r="A24" s="112">
        <v>4</v>
      </c>
      <c r="B24" s="112" t="s">
        <v>52</v>
      </c>
      <c r="C24" s="112" t="s">
        <v>150</v>
      </c>
      <c r="D24" s="112" t="s">
        <v>163</v>
      </c>
      <c r="E24" s="4">
        <f t="shared" si="0"/>
        <v>4.4444444444444481E-2</v>
      </c>
      <c r="F24" s="112" t="s">
        <v>55</v>
      </c>
      <c r="G24" s="112" t="s">
        <v>164</v>
      </c>
      <c r="H24" s="112" t="s">
        <v>165</v>
      </c>
      <c r="I24" s="112"/>
      <c r="J24" s="112" t="s">
        <v>154</v>
      </c>
      <c r="K24" s="112" t="s">
        <v>166</v>
      </c>
      <c r="L24" s="9">
        <v>960</v>
      </c>
      <c r="M24" s="9">
        <v>960</v>
      </c>
      <c r="N24" s="9">
        <v>960</v>
      </c>
      <c r="O24" s="9">
        <v>960</v>
      </c>
      <c r="P24" s="10">
        <f>SUM(L24:O24)</f>
        <v>3840</v>
      </c>
      <c r="Q24" s="112" t="s">
        <v>95</v>
      </c>
      <c r="R24" s="112" t="s">
        <v>166</v>
      </c>
      <c r="S24" s="112" t="s">
        <v>157</v>
      </c>
      <c r="T24" s="112" t="s">
        <v>63</v>
      </c>
      <c r="U24" s="112" t="s">
        <v>157</v>
      </c>
      <c r="V24" s="36">
        <f t="shared" si="4"/>
        <v>960</v>
      </c>
      <c r="W24" s="36">
        <v>1319</v>
      </c>
      <c r="X24" s="96">
        <v>1</v>
      </c>
      <c r="Y24" s="89" t="s">
        <v>167</v>
      </c>
      <c r="Z24" s="89" t="s">
        <v>168</v>
      </c>
      <c r="AA24" s="9">
        <f t="shared" si="5"/>
        <v>960</v>
      </c>
      <c r="AB24" s="97">
        <v>1062</v>
      </c>
      <c r="AC24" s="88">
        <f t="shared" si="6"/>
        <v>1</v>
      </c>
      <c r="AD24" s="89" t="s">
        <v>169</v>
      </c>
      <c r="AE24" s="89" t="s">
        <v>161</v>
      </c>
      <c r="AF24" s="9">
        <f t="shared" si="1"/>
        <v>960</v>
      </c>
      <c r="AG24" s="97"/>
      <c r="AH24" s="88">
        <f t="shared" si="7"/>
        <v>0</v>
      </c>
      <c r="AI24" s="112"/>
      <c r="AJ24" s="112"/>
      <c r="AK24" s="33">
        <f t="shared" si="2"/>
        <v>960</v>
      </c>
      <c r="AL24" s="97"/>
      <c r="AM24" s="88">
        <f t="shared" si="8"/>
        <v>0</v>
      </c>
      <c r="AN24" s="112"/>
      <c r="AO24" s="112"/>
      <c r="AP24" s="36">
        <f t="shared" si="3"/>
        <v>3840</v>
      </c>
      <c r="AQ24" s="42">
        <f>1319+1062</f>
        <v>2381</v>
      </c>
      <c r="AR24" s="44">
        <f t="shared" si="9"/>
        <v>0.62005208333333328</v>
      </c>
      <c r="AS24" s="89" t="s">
        <v>170</v>
      </c>
    </row>
    <row r="25" spans="1:45" s="32" customFormat="1" ht="162.75" customHeight="1">
      <c r="A25" s="112">
        <v>4</v>
      </c>
      <c r="B25" s="112" t="s">
        <v>52</v>
      </c>
      <c r="C25" s="112" t="s">
        <v>150</v>
      </c>
      <c r="D25" s="112" t="s">
        <v>171</v>
      </c>
      <c r="E25" s="4">
        <f t="shared" si="0"/>
        <v>4.4444444444444481E-2</v>
      </c>
      <c r="F25" s="112" t="s">
        <v>55</v>
      </c>
      <c r="G25" s="112" t="s">
        <v>172</v>
      </c>
      <c r="H25" s="112" t="s">
        <v>173</v>
      </c>
      <c r="I25" s="112"/>
      <c r="J25" s="112" t="s">
        <v>154</v>
      </c>
      <c r="K25" s="112" t="s">
        <v>174</v>
      </c>
      <c r="L25" s="11">
        <v>47</v>
      </c>
      <c r="M25" s="11">
        <v>68</v>
      </c>
      <c r="N25" s="11">
        <v>69</v>
      </c>
      <c r="O25" s="11">
        <v>50</v>
      </c>
      <c r="P25" s="10">
        <f t="shared" ref="P25:P30" si="10">SUM(L25:O25)</f>
        <v>234</v>
      </c>
      <c r="Q25" s="112" t="s">
        <v>95</v>
      </c>
      <c r="R25" s="112" t="s">
        <v>175</v>
      </c>
      <c r="S25" s="112" t="s">
        <v>176</v>
      </c>
      <c r="T25" s="112" t="s">
        <v>63</v>
      </c>
      <c r="U25" s="112" t="s">
        <v>176</v>
      </c>
      <c r="V25" s="36">
        <f t="shared" si="4"/>
        <v>47</v>
      </c>
      <c r="W25" s="36">
        <v>0</v>
      </c>
      <c r="X25" s="96">
        <v>0</v>
      </c>
      <c r="Y25" s="89" t="s">
        <v>177</v>
      </c>
      <c r="Z25" s="89" t="s">
        <v>178</v>
      </c>
      <c r="AA25" s="9">
        <f t="shared" si="5"/>
        <v>68</v>
      </c>
      <c r="AB25" s="97">
        <v>0</v>
      </c>
      <c r="AC25" s="88">
        <f t="shared" si="6"/>
        <v>0</v>
      </c>
      <c r="AD25" s="75" t="s">
        <v>179</v>
      </c>
      <c r="AE25" s="75" t="s">
        <v>180</v>
      </c>
      <c r="AF25" s="9">
        <f t="shared" si="1"/>
        <v>69</v>
      </c>
      <c r="AG25" s="97"/>
      <c r="AH25" s="88">
        <f t="shared" si="7"/>
        <v>0</v>
      </c>
      <c r="AI25" s="112"/>
      <c r="AJ25" s="112"/>
      <c r="AK25" s="33">
        <f t="shared" si="2"/>
        <v>50</v>
      </c>
      <c r="AL25" s="97"/>
      <c r="AM25" s="88">
        <f t="shared" si="8"/>
        <v>0</v>
      </c>
      <c r="AN25" s="112"/>
      <c r="AO25" s="112"/>
      <c r="AP25" s="36">
        <f t="shared" si="3"/>
        <v>234</v>
      </c>
      <c r="AQ25" s="42">
        <v>0</v>
      </c>
      <c r="AR25" s="44">
        <f t="shared" si="9"/>
        <v>0</v>
      </c>
      <c r="AS25" s="75" t="s">
        <v>179</v>
      </c>
    </row>
    <row r="26" spans="1:45" s="32" customFormat="1" ht="210">
      <c r="A26" s="112">
        <v>4</v>
      </c>
      <c r="B26" s="112" t="s">
        <v>52</v>
      </c>
      <c r="C26" s="112" t="s">
        <v>150</v>
      </c>
      <c r="D26" s="112" t="s">
        <v>181</v>
      </c>
      <c r="E26" s="4">
        <f t="shared" si="0"/>
        <v>4.4444444444444481E-2</v>
      </c>
      <c r="F26" s="112" t="s">
        <v>80</v>
      </c>
      <c r="G26" s="112" t="s">
        <v>182</v>
      </c>
      <c r="H26" s="112" t="s">
        <v>183</v>
      </c>
      <c r="I26" s="112"/>
      <c r="J26" s="112" t="s">
        <v>154</v>
      </c>
      <c r="K26" s="112" t="s">
        <v>175</v>
      </c>
      <c r="L26" s="11">
        <v>36</v>
      </c>
      <c r="M26" s="11">
        <v>57</v>
      </c>
      <c r="N26" s="11">
        <v>57</v>
      </c>
      <c r="O26" s="11">
        <v>36</v>
      </c>
      <c r="P26" s="10">
        <f t="shared" si="10"/>
        <v>186</v>
      </c>
      <c r="Q26" s="112" t="s">
        <v>95</v>
      </c>
      <c r="R26" s="112" t="s">
        <v>175</v>
      </c>
      <c r="S26" s="112" t="s">
        <v>176</v>
      </c>
      <c r="T26" s="112" t="s">
        <v>63</v>
      </c>
      <c r="U26" s="112" t="s">
        <v>176</v>
      </c>
      <c r="V26" s="36">
        <f t="shared" si="4"/>
        <v>36</v>
      </c>
      <c r="W26" s="46">
        <v>4</v>
      </c>
      <c r="X26" s="99">
        <f>W26/V26</f>
        <v>0.1111111111111111</v>
      </c>
      <c r="Y26" s="89" t="s">
        <v>184</v>
      </c>
      <c r="Z26" s="89" t="s">
        <v>185</v>
      </c>
      <c r="AA26" s="9">
        <f t="shared" si="5"/>
        <v>57</v>
      </c>
      <c r="AB26" s="97">
        <v>36</v>
      </c>
      <c r="AC26" s="88">
        <f t="shared" si="6"/>
        <v>0.63157894736842102</v>
      </c>
      <c r="AD26" s="75" t="s">
        <v>186</v>
      </c>
      <c r="AE26" s="75" t="s">
        <v>187</v>
      </c>
      <c r="AF26" s="9">
        <f t="shared" si="1"/>
        <v>57</v>
      </c>
      <c r="AG26" s="97"/>
      <c r="AH26" s="88">
        <f t="shared" si="7"/>
        <v>0</v>
      </c>
      <c r="AI26" s="112"/>
      <c r="AJ26" s="112"/>
      <c r="AK26" s="33">
        <f t="shared" si="2"/>
        <v>36</v>
      </c>
      <c r="AL26" s="97"/>
      <c r="AM26" s="88">
        <f t="shared" si="8"/>
        <v>0</v>
      </c>
      <c r="AN26" s="112"/>
      <c r="AO26" s="112"/>
      <c r="AP26" s="36">
        <f t="shared" si="3"/>
        <v>186</v>
      </c>
      <c r="AQ26" s="46">
        <f>4+36</f>
        <v>40</v>
      </c>
      <c r="AR26" s="44">
        <f t="shared" si="9"/>
        <v>0.21505376344086022</v>
      </c>
      <c r="AS26" s="75" t="s">
        <v>188</v>
      </c>
    </row>
    <row r="27" spans="1:45" s="32" customFormat="1" ht="121.5" customHeight="1">
      <c r="A27" s="112">
        <v>4</v>
      </c>
      <c r="B27" s="112" t="s">
        <v>52</v>
      </c>
      <c r="C27" s="112" t="s">
        <v>150</v>
      </c>
      <c r="D27" s="112" t="s">
        <v>189</v>
      </c>
      <c r="E27" s="4">
        <f t="shared" si="0"/>
        <v>4.4444444444444481E-2</v>
      </c>
      <c r="F27" s="112" t="s">
        <v>80</v>
      </c>
      <c r="G27" s="112" t="s">
        <v>190</v>
      </c>
      <c r="H27" s="112" t="s">
        <v>191</v>
      </c>
      <c r="I27" s="112"/>
      <c r="J27" s="112" t="s">
        <v>154</v>
      </c>
      <c r="K27" s="112" t="s">
        <v>192</v>
      </c>
      <c r="L27" s="11">
        <v>24</v>
      </c>
      <c r="M27" s="11">
        <v>30</v>
      </c>
      <c r="N27" s="11">
        <v>30</v>
      </c>
      <c r="O27" s="11">
        <v>28</v>
      </c>
      <c r="P27" s="10">
        <f t="shared" si="10"/>
        <v>112</v>
      </c>
      <c r="Q27" s="112" t="s">
        <v>95</v>
      </c>
      <c r="R27" s="112" t="s">
        <v>193</v>
      </c>
      <c r="S27" s="112" t="s">
        <v>194</v>
      </c>
      <c r="T27" s="112" t="s">
        <v>63</v>
      </c>
      <c r="U27" s="112" t="s">
        <v>193</v>
      </c>
      <c r="V27" s="36">
        <f t="shared" si="4"/>
        <v>24</v>
      </c>
      <c r="W27" s="100">
        <v>102</v>
      </c>
      <c r="X27" s="96">
        <v>1</v>
      </c>
      <c r="Y27" s="89" t="s">
        <v>195</v>
      </c>
      <c r="Z27" s="89" t="s">
        <v>185</v>
      </c>
      <c r="AA27" s="9">
        <f t="shared" si="5"/>
        <v>30</v>
      </c>
      <c r="AB27" s="97">
        <v>146</v>
      </c>
      <c r="AC27" s="88">
        <f t="shared" si="6"/>
        <v>1</v>
      </c>
      <c r="AD27" s="75" t="s">
        <v>196</v>
      </c>
      <c r="AE27" s="75" t="s">
        <v>197</v>
      </c>
      <c r="AF27" s="9">
        <f t="shared" si="1"/>
        <v>30</v>
      </c>
      <c r="AG27" s="97"/>
      <c r="AH27" s="88">
        <f t="shared" si="7"/>
        <v>0</v>
      </c>
      <c r="AI27" s="112"/>
      <c r="AJ27" s="112"/>
      <c r="AK27" s="33">
        <f t="shared" si="2"/>
        <v>28</v>
      </c>
      <c r="AL27" s="97"/>
      <c r="AM27" s="88">
        <f t="shared" si="8"/>
        <v>0</v>
      </c>
      <c r="AN27" s="112"/>
      <c r="AO27" s="112"/>
      <c r="AP27" s="36">
        <f t="shared" si="3"/>
        <v>112</v>
      </c>
      <c r="AQ27" s="42">
        <f>102+146</f>
        <v>248</v>
      </c>
      <c r="AR27" s="44">
        <f>IF(AQ27/AP27&gt;100%,100%,AQ27/AP27)</f>
        <v>1</v>
      </c>
      <c r="AS27" s="89" t="s">
        <v>198</v>
      </c>
    </row>
    <row r="28" spans="1:45" s="32" customFormat="1" ht="90">
      <c r="A28" s="112">
        <v>4</v>
      </c>
      <c r="B28" s="112" t="s">
        <v>52</v>
      </c>
      <c r="C28" s="112" t="s">
        <v>150</v>
      </c>
      <c r="D28" s="112" t="s">
        <v>199</v>
      </c>
      <c r="E28" s="4">
        <f t="shared" si="0"/>
        <v>4.4444444444444481E-2</v>
      </c>
      <c r="F28" s="112" t="s">
        <v>80</v>
      </c>
      <c r="G28" s="112" t="s">
        <v>200</v>
      </c>
      <c r="H28" s="112" t="s">
        <v>201</v>
      </c>
      <c r="I28" s="112"/>
      <c r="J28" s="112" t="s">
        <v>154</v>
      </c>
      <c r="K28" s="112" t="s">
        <v>192</v>
      </c>
      <c r="L28" s="11">
        <v>26</v>
      </c>
      <c r="M28" s="11">
        <v>36</v>
      </c>
      <c r="N28" s="11">
        <v>36</v>
      </c>
      <c r="O28" s="11">
        <v>32</v>
      </c>
      <c r="P28" s="10">
        <f t="shared" si="10"/>
        <v>130</v>
      </c>
      <c r="Q28" s="112" t="s">
        <v>95</v>
      </c>
      <c r="R28" s="112" t="s">
        <v>193</v>
      </c>
      <c r="S28" s="112" t="s">
        <v>194</v>
      </c>
      <c r="T28" s="112" t="s">
        <v>63</v>
      </c>
      <c r="U28" s="112" t="s">
        <v>193</v>
      </c>
      <c r="V28" s="36">
        <f t="shared" si="4"/>
        <v>26</v>
      </c>
      <c r="W28" s="100">
        <v>71</v>
      </c>
      <c r="X28" s="96">
        <v>1</v>
      </c>
      <c r="Y28" s="89" t="s">
        <v>202</v>
      </c>
      <c r="Z28" s="89" t="s">
        <v>185</v>
      </c>
      <c r="AA28" s="9">
        <f t="shared" si="5"/>
        <v>36</v>
      </c>
      <c r="AB28" s="97">
        <v>105</v>
      </c>
      <c r="AC28" s="88">
        <f t="shared" si="6"/>
        <v>1</v>
      </c>
      <c r="AD28" s="75" t="s">
        <v>203</v>
      </c>
      <c r="AE28" s="75" t="s">
        <v>204</v>
      </c>
      <c r="AF28" s="9">
        <f t="shared" si="1"/>
        <v>36</v>
      </c>
      <c r="AG28" s="97"/>
      <c r="AH28" s="88">
        <f t="shared" si="7"/>
        <v>0</v>
      </c>
      <c r="AI28" s="112"/>
      <c r="AJ28" s="112"/>
      <c r="AK28" s="33">
        <f t="shared" si="2"/>
        <v>32</v>
      </c>
      <c r="AL28" s="97"/>
      <c r="AM28" s="88">
        <f t="shared" si="8"/>
        <v>0</v>
      </c>
      <c r="AN28" s="112"/>
      <c r="AO28" s="112"/>
      <c r="AP28" s="36">
        <f t="shared" si="3"/>
        <v>130</v>
      </c>
      <c r="AQ28" s="42">
        <f>71+105</f>
        <v>176</v>
      </c>
      <c r="AR28" s="44">
        <f>IF(AQ28/AP28&gt;100%,100%,AQ28/AP28)</f>
        <v>1</v>
      </c>
      <c r="AS28" s="89" t="s">
        <v>205</v>
      </c>
    </row>
    <row r="29" spans="1:45" s="32" customFormat="1" ht="210">
      <c r="A29" s="112">
        <v>4</v>
      </c>
      <c r="B29" s="112" t="s">
        <v>52</v>
      </c>
      <c r="C29" s="112" t="s">
        <v>150</v>
      </c>
      <c r="D29" s="112" t="s">
        <v>206</v>
      </c>
      <c r="E29" s="4">
        <f t="shared" si="0"/>
        <v>4.4444444444444481E-2</v>
      </c>
      <c r="F29" s="112" t="s">
        <v>80</v>
      </c>
      <c r="G29" s="112" t="s">
        <v>207</v>
      </c>
      <c r="H29" s="112" t="s">
        <v>208</v>
      </c>
      <c r="I29" s="112"/>
      <c r="J29" s="112" t="s">
        <v>154</v>
      </c>
      <c r="K29" s="112" t="s">
        <v>192</v>
      </c>
      <c r="L29" s="11">
        <v>8</v>
      </c>
      <c r="M29" s="11">
        <v>10</v>
      </c>
      <c r="N29" s="11">
        <v>10</v>
      </c>
      <c r="O29" s="11">
        <v>8</v>
      </c>
      <c r="P29" s="10">
        <f t="shared" si="10"/>
        <v>36</v>
      </c>
      <c r="Q29" s="112" t="s">
        <v>95</v>
      </c>
      <c r="R29" s="112" t="s">
        <v>193</v>
      </c>
      <c r="S29" s="112" t="s">
        <v>194</v>
      </c>
      <c r="T29" s="112" t="s">
        <v>63</v>
      </c>
      <c r="U29" s="112" t="s">
        <v>193</v>
      </c>
      <c r="V29" s="36">
        <f t="shared" si="4"/>
        <v>8</v>
      </c>
      <c r="W29" s="100">
        <v>60</v>
      </c>
      <c r="X29" s="96">
        <v>1</v>
      </c>
      <c r="Y29" s="89" t="s">
        <v>209</v>
      </c>
      <c r="Z29" s="89" t="s">
        <v>185</v>
      </c>
      <c r="AA29" s="9">
        <f t="shared" si="5"/>
        <v>10</v>
      </c>
      <c r="AB29" s="97">
        <v>86</v>
      </c>
      <c r="AC29" s="88">
        <f t="shared" si="6"/>
        <v>1</v>
      </c>
      <c r="AD29" s="75" t="s">
        <v>210</v>
      </c>
      <c r="AE29" s="75" t="s">
        <v>211</v>
      </c>
      <c r="AF29" s="9">
        <f t="shared" si="1"/>
        <v>10</v>
      </c>
      <c r="AG29" s="97"/>
      <c r="AH29" s="88">
        <f t="shared" si="7"/>
        <v>0</v>
      </c>
      <c r="AI29" s="112"/>
      <c r="AJ29" s="112"/>
      <c r="AK29" s="33">
        <f t="shared" si="2"/>
        <v>8</v>
      </c>
      <c r="AL29" s="97"/>
      <c r="AM29" s="88">
        <f t="shared" si="8"/>
        <v>0</v>
      </c>
      <c r="AN29" s="112"/>
      <c r="AO29" s="112"/>
      <c r="AP29" s="36">
        <f t="shared" si="3"/>
        <v>36</v>
      </c>
      <c r="AQ29" s="42">
        <f>60+86</f>
        <v>146</v>
      </c>
      <c r="AR29" s="44">
        <f>IF(AQ29/AP29&gt;100%,100%,AQ29/AP29)</f>
        <v>1</v>
      </c>
      <c r="AS29" s="89" t="s">
        <v>212</v>
      </c>
    </row>
    <row r="30" spans="1:45" s="32" customFormat="1" ht="150">
      <c r="A30" s="112">
        <v>4</v>
      </c>
      <c r="B30" s="112" t="s">
        <v>52</v>
      </c>
      <c r="C30" s="112" t="s">
        <v>150</v>
      </c>
      <c r="D30" s="112" t="s">
        <v>213</v>
      </c>
      <c r="E30" s="4">
        <f t="shared" si="0"/>
        <v>4.4444444444444481E-2</v>
      </c>
      <c r="F30" s="112" t="s">
        <v>80</v>
      </c>
      <c r="G30" s="112" t="s">
        <v>214</v>
      </c>
      <c r="H30" s="112" t="s">
        <v>215</v>
      </c>
      <c r="I30" s="112"/>
      <c r="J30" s="112" t="s">
        <v>154</v>
      </c>
      <c r="K30" s="112" t="s">
        <v>192</v>
      </c>
      <c r="L30" s="11">
        <v>9</v>
      </c>
      <c r="M30" s="11">
        <v>12</v>
      </c>
      <c r="N30" s="11">
        <v>12</v>
      </c>
      <c r="O30" s="11">
        <v>11</v>
      </c>
      <c r="P30" s="10">
        <f t="shared" si="10"/>
        <v>44</v>
      </c>
      <c r="Q30" s="112" t="s">
        <v>95</v>
      </c>
      <c r="R30" s="112" t="s">
        <v>193</v>
      </c>
      <c r="S30" s="112" t="s">
        <v>194</v>
      </c>
      <c r="T30" s="112" t="s">
        <v>63</v>
      </c>
      <c r="U30" s="112" t="s">
        <v>193</v>
      </c>
      <c r="V30" s="36">
        <f t="shared" si="4"/>
        <v>9</v>
      </c>
      <c r="W30" s="100">
        <v>15</v>
      </c>
      <c r="X30" s="96">
        <v>1</v>
      </c>
      <c r="Y30" s="89" t="s">
        <v>216</v>
      </c>
      <c r="Z30" s="101" t="s">
        <v>217</v>
      </c>
      <c r="AA30" s="9">
        <f t="shared" si="5"/>
        <v>12</v>
      </c>
      <c r="AB30" s="97">
        <v>12</v>
      </c>
      <c r="AC30" s="88">
        <f>IF(AB30/AA30&gt;100%,100%,AB30/AA30)</f>
        <v>1</v>
      </c>
      <c r="AD30" s="75" t="s">
        <v>218</v>
      </c>
      <c r="AE30" s="75" t="s">
        <v>219</v>
      </c>
      <c r="AF30" s="9">
        <f t="shared" si="1"/>
        <v>12</v>
      </c>
      <c r="AG30" s="97"/>
      <c r="AH30" s="88">
        <f>IF(AG30/AF30&gt;100%,100%,AG30/AF30)</f>
        <v>0</v>
      </c>
      <c r="AI30" s="112"/>
      <c r="AJ30" s="112"/>
      <c r="AK30" s="33">
        <f t="shared" si="2"/>
        <v>11</v>
      </c>
      <c r="AL30" s="97"/>
      <c r="AM30" s="88">
        <f>IF(AL30/AK30&gt;100%,100%,AL30/AK30)</f>
        <v>0</v>
      </c>
      <c r="AN30" s="112"/>
      <c r="AO30" s="112"/>
      <c r="AP30" s="36">
        <f t="shared" si="3"/>
        <v>44</v>
      </c>
      <c r="AQ30" s="42">
        <f>15+12</f>
        <v>27</v>
      </c>
      <c r="AR30" s="44">
        <f t="shared" si="9"/>
        <v>0.61363636363636365</v>
      </c>
      <c r="AS30" s="89" t="s">
        <v>220</v>
      </c>
    </row>
    <row r="31" spans="1:45" s="29" customFormat="1" ht="15.75">
      <c r="A31" s="12"/>
      <c r="B31" s="12"/>
      <c r="C31" s="12"/>
      <c r="D31" s="13" t="s">
        <v>221</v>
      </c>
      <c r="E31" s="14">
        <f>SUM(E13:E30)</f>
        <v>0.80000000000000093</v>
      </c>
      <c r="F31" s="12"/>
      <c r="G31" s="12"/>
      <c r="H31" s="12"/>
      <c r="I31" s="12"/>
      <c r="J31" s="12"/>
      <c r="K31" s="12"/>
      <c r="L31" s="14"/>
      <c r="M31" s="14"/>
      <c r="N31" s="14"/>
      <c r="O31" s="14"/>
      <c r="P31" s="14"/>
      <c r="Q31" s="12"/>
      <c r="R31" s="12"/>
      <c r="S31" s="12"/>
      <c r="T31" s="12"/>
      <c r="U31" s="12"/>
      <c r="V31" s="57"/>
      <c r="W31" s="57"/>
      <c r="X31" s="57">
        <f>AVERAGE(X13:X30)*80%</f>
        <v>0.60343291301169599</v>
      </c>
      <c r="Y31" s="58"/>
      <c r="Z31" s="58"/>
      <c r="AA31" s="59"/>
      <c r="AB31" s="59"/>
      <c r="AC31" s="82">
        <f>AVERAGE(AC13:AC30)*80%</f>
        <v>0.69597409700722401</v>
      </c>
      <c r="AD31" s="77"/>
      <c r="AE31" s="77"/>
      <c r="AF31" s="59"/>
      <c r="AG31" s="59"/>
      <c r="AH31" s="57" t="e">
        <f>AVERAGE(AH13:AH30)*80%</f>
        <v>#DIV/0!</v>
      </c>
      <c r="AI31" s="60"/>
      <c r="AJ31" s="60"/>
      <c r="AK31" s="61"/>
      <c r="AL31" s="59"/>
      <c r="AM31" s="57">
        <f>AVERAGE(AM13:AM30)*80%</f>
        <v>0</v>
      </c>
      <c r="AN31" s="60"/>
      <c r="AO31" s="60"/>
      <c r="AP31" s="62"/>
      <c r="AQ31" s="62"/>
      <c r="AR31" s="82">
        <f>AVERAGE(AR13:AR30)*80%</f>
        <v>0.36226812869065383</v>
      </c>
      <c r="AS31" s="77"/>
    </row>
    <row r="32" spans="1:45" ht="223.5" customHeight="1">
      <c r="A32" s="15">
        <v>7</v>
      </c>
      <c r="B32" s="15" t="s">
        <v>222</v>
      </c>
      <c r="C32" s="15" t="s">
        <v>223</v>
      </c>
      <c r="D32" s="15" t="s">
        <v>224</v>
      </c>
      <c r="E32" s="16">
        <v>0.04</v>
      </c>
      <c r="F32" s="15" t="s">
        <v>225</v>
      </c>
      <c r="G32" s="15" t="s">
        <v>226</v>
      </c>
      <c r="H32" s="15" t="s">
        <v>227</v>
      </c>
      <c r="I32" s="15"/>
      <c r="J32" s="17" t="s">
        <v>228</v>
      </c>
      <c r="K32" s="17" t="s">
        <v>229</v>
      </c>
      <c r="L32" s="18">
        <v>0</v>
      </c>
      <c r="M32" s="18">
        <v>0.8</v>
      </c>
      <c r="N32" s="18">
        <v>0</v>
      </c>
      <c r="O32" s="18">
        <v>0.8</v>
      </c>
      <c r="P32" s="18">
        <v>0.8</v>
      </c>
      <c r="Q32" s="15" t="s">
        <v>95</v>
      </c>
      <c r="R32" s="15" t="s">
        <v>230</v>
      </c>
      <c r="S32" s="15" t="s">
        <v>231</v>
      </c>
      <c r="T32" s="15" t="s">
        <v>232</v>
      </c>
      <c r="U32" s="15" t="s">
        <v>233</v>
      </c>
      <c r="V32" s="37" t="s">
        <v>65</v>
      </c>
      <c r="W32" s="37" t="s">
        <v>65</v>
      </c>
      <c r="X32" s="37" t="s">
        <v>65</v>
      </c>
      <c r="Y32" s="102" t="s">
        <v>66</v>
      </c>
      <c r="Z32" s="79" t="s">
        <v>65</v>
      </c>
      <c r="AA32" s="37">
        <f t="shared" si="5"/>
        <v>0.8</v>
      </c>
      <c r="AB32" s="37">
        <v>0.627</v>
      </c>
      <c r="AC32" s="50">
        <f>IF(AB32/AA32&gt;100%,100%,AB32/AA32)</f>
        <v>0.78374999999999995</v>
      </c>
      <c r="AD32" s="51" t="s">
        <v>234</v>
      </c>
      <c r="AE32" s="51" t="s">
        <v>235</v>
      </c>
      <c r="AF32" s="43">
        <f t="shared" si="1"/>
        <v>0</v>
      </c>
      <c r="AG32" s="15"/>
      <c r="AH32" s="15"/>
      <c r="AI32" s="47"/>
      <c r="AJ32" s="47"/>
      <c r="AK32" s="43">
        <f t="shared" si="2"/>
        <v>0.8</v>
      </c>
      <c r="AL32" s="15"/>
      <c r="AM32" s="15"/>
      <c r="AN32" s="47"/>
      <c r="AO32" s="47"/>
      <c r="AP32" s="43">
        <f t="shared" si="3"/>
        <v>0.8</v>
      </c>
      <c r="AQ32" s="43">
        <f>63%*50%</f>
        <v>0.315</v>
      </c>
      <c r="AR32" s="45">
        <f t="shared" ref="AR32:AR36" si="11">IF(AQ32/AP32&gt;100%,100%,AQ32/AP32)</f>
        <v>0.39374999999999999</v>
      </c>
      <c r="AS32" s="51" t="s">
        <v>234</v>
      </c>
    </row>
    <row r="33" spans="1:45" ht="105">
      <c r="A33" s="15">
        <v>7</v>
      </c>
      <c r="B33" s="15" t="s">
        <v>222</v>
      </c>
      <c r="C33" s="15" t="s">
        <v>223</v>
      </c>
      <c r="D33" s="15" t="s">
        <v>236</v>
      </c>
      <c r="E33" s="16">
        <v>0.04</v>
      </c>
      <c r="F33" s="15" t="s">
        <v>225</v>
      </c>
      <c r="G33" s="15" t="s">
        <v>237</v>
      </c>
      <c r="H33" s="15" t="s">
        <v>238</v>
      </c>
      <c r="I33" s="15"/>
      <c r="J33" s="17" t="s">
        <v>228</v>
      </c>
      <c r="K33" s="17" t="s">
        <v>239</v>
      </c>
      <c r="L33" s="19">
        <v>1</v>
      </c>
      <c r="M33" s="20">
        <v>1</v>
      </c>
      <c r="N33" s="20">
        <v>1</v>
      </c>
      <c r="O33" s="20">
        <v>1</v>
      </c>
      <c r="P33" s="20">
        <v>1</v>
      </c>
      <c r="Q33" s="15" t="s">
        <v>95</v>
      </c>
      <c r="R33" s="15" t="s">
        <v>240</v>
      </c>
      <c r="S33" s="15" t="s">
        <v>241</v>
      </c>
      <c r="T33" s="15" t="s">
        <v>242</v>
      </c>
      <c r="U33" s="15" t="s">
        <v>243</v>
      </c>
      <c r="V33" s="37">
        <f>L33</f>
        <v>1</v>
      </c>
      <c r="W33" s="43">
        <v>0.5</v>
      </c>
      <c r="X33" s="43">
        <v>0.5</v>
      </c>
      <c r="Y33" s="102" t="s">
        <v>244</v>
      </c>
      <c r="Z33" s="51" t="s">
        <v>245</v>
      </c>
      <c r="AA33" s="37">
        <f t="shared" si="5"/>
        <v>1</v>
      </c>
      <c r="AB33" s="37">
        <v>0.55000000000000004</v>
      </c>
      <c r="AC33" s="50">
        <f>IF(AB33/AA33&gt;100%,100%,AB33/AA33)</f>
        <v>0.55000000000000004</v>
      </c>
      <c r="AD33" s="51" t="s">
        <v>246</v>
      </c>
      <c r="AE33" s="51" t="s">
        <v>247</v>
      </c>
      <c r="AF33" s="43">
        <f t="shared" si="1"/>
        <v>1</v>
      </c>
      <c r="AG33" s="15"/>
      <c r="AH33" s="15"/>
      <c r="AI33" s="47"/>
      <c r="AJ33" s="47"/>
      <c r="AK33" s="43">
        <f t="shared" si="2"/>
        <v>1</v>
      </c>
      <c r="AL33" s="15"/>
      <c r="AM33" s="15"/>
      <c r="AN33" s="47"/>
      <c r="AO33" s="47"/>
      <c r="AP33" s="43">
        <f t="shared" si="3"/>
        <v>1</v>
      </c>
      <c r="AQ33" s="50">
        <f>(50%*25%)+(55%*25%)</f>
        <v>0.26250000000000001</v>
      </c>
      <c r="AR33" s="45">
        <f t="shared" si="11"/>
        <v>0.26250000000000001</v>
      </c>
      <c r="AS33" s="51" t="s">
        <v>248</v>
      </c>
    </row>
    <row r="34" spans="1:45" ht="276.75" customHeight="1">
      <c r="A34" s="15">
        <v>7</v>
      </c>
      <c r="B34" s="15" t="s">
        <v>222</v>
      </c>
      <c r="C34" s="15" t="s">
        <v>249</v>
      </c>
      <c r="D34" s="15" t="s">
        <v>250</v>
      </c>
      <c r="E34" s="16">
        <v>0.04</v>
      </c>
      <c r="F34" s="15" t="s">
        <v>225</v>
      </c>
      <c r="G34" s="15" t="s">
        <v>251</v>
      </c>
      <c r="H34" s="15" t="s">
        <v>252</v>
      </c>
      <c r="I34" s="15"/>
      <c r="J34" s="17" t="s">
        <v>228</v>
      </c>
      <c r="K34" s="17" t="s">
        <v>253</v>
      </c>
      <c r="L34" s="19">
        <v>0</v>
      </c>
      <c r="M34" s="20">
        <v>1</v>
      </c>
      <c r="N34" s="20">
        <v>1</v>
      </c>
      <c r="O34" s="20">
        <v>1</v>
      </c>
      <c r="P34" s="20">
        <v>1</v>
      </c>
      <c r="Q34" s="15" t="s">
        <v>95</v>
      </c>
      <c r="R34" s="15" t="s">
        <v>254</v>
      </c>
      <c r="S34" s="15" t="s">
        <v>255</v>
      </c>
      <c r="T34" s="15" t="s">
        <v>256</v>
      </c>
      <c r="U34" s="15" t="s">
        <v>257</v>
      </c>
      <c r="V34" s="37" t="s">
        <v>65</v>
      </c>
      <c r="W34" s="37" t="s">
        <v>65</v>
      </c>
      <c r="X34" s="37" t="s">
        <v>65</v>
      </c>
      <c r="Y34" s="102" t="s">
        <v>66</v>
      </c>
      <c r="Z34" s="79" t="s">
        <v>65</v>
      </c>
      <c r="AA34" s="37">
        <f t="shared" si="5"/>
        <v>1</v>
      </c>
      <c r="AB34" s="50">
        <v>0.95650000000000002</v>
      </c>
      <c r="AC34" s="50">
        <f>IF(AB34/AA34&gt;100%,100%,AB34/AA34)</f>
        <v>0.95650000000000002</v>
      </c>
      <c r="AD34" s="51" t="s">
        <v>258</v>
      </c>
      <c r="AE34" s="51" t="s">
        <v>259</v>
      </c>
      <c r="AF34" s="43">
        <f t="shared" si="1"/>
        <v>1</v>
      </c>
      <c r="AG34" s="15"/>
      <c r="AH34" s="15"/>
      <c r="AI34" s="47"/>
      <c r="AJ34" s="47"/>
      <c r="AK34" s="43">
        <f t="shared" si="2"/>
        <v>1</v>
      </c>
      <c r="AL34" s="15"/>
      <c r="AM34" s="15"/>
      <c r="AN34" s="47"/>
      <c r="AO34" s="47"/>
      <c r="AP34" s="43">
        <f t="shared" si="3"/>
        <v>1</v>
      </c>
      <c r="AQ34" s="45">
        <f>(95.65%*33%)</f>
        <v>0.31564500000000001</v>
      </c>
      <c r="AR34" s="45">
        <f t="shared" si="11"/>
        <v>0.31564500000000001</v>
      </c>
      <c r="AS34" s="51" t="s">
        <v>260</v>
      </c>
    </row>
    <row r="35" spans="1:45" ht="105">
      <c r="A35" s="15">
        <v>7</v>
      </c>
      <c r="B35" s="15" t="s">
        <v>222</v>
      </c>
      <c r="C35" s="15" t="s">
        <v>223</v>
      </c>
      <c r="D35" s="15" t="s">
        <v>261</v>
      </c>
      <c r="E35" s="16">
        <v>0.04</v>
      </c>
      <c r="F35" s="15" t="s">
        <v>225</v>
      </c>
      <c r="G35" s="15" t="s">
        <v>262</v>
      </c>
      <c r="H35" s="15" t="s">
        <v>263</v>
      </c>
      <c r="I35" s="15"/>
      <c r="J35" s="17" t="s">
        <v>228</v>
      </c>
      <c r="K35" s="17" t="s">
        <v>264</v>
      </c>
      <c r="L35" s="19">
        <v>0</v>
      </c>
      <c r="M35" s="20">
        <v>1</v>
      </c>
      <c r="N35" s="20">
        <v>1</v>
      </c>
      <c r="O35" s="20">
        <v>0</v>
      </c>
      <c r="P35" s="20">
        <v>1</v>
      </c>
      <c r="Q35" s="15" t="s">
        <v>95</v>
      </c>
      <c r="R35" s="15" t="s">
        <v>265</v>
      </c>
      <c r="S35" s="15" t="s">
        <v>266</v>
      </c>
      <c r="T35" s="15" t="s">
        <v>242</v>
      </c>
      <c r="U35" s="15" t="s">
        <v>266</v>
      </c>
      <c r="V35" s="37" t="s">
        <v>65</v>
      </c>
      <c r="W35" s="37" t="s">
        <v>65</v>
      </c>
      <c r="X35" s="37" t="s">
        <v>65</v>
      </c>
      <c r="Y35" s="102" t="s">
        <v>66</v>
      </c>
      <c r="Z35" s="79" t="s">
        <v>65</v>
      </c>
      <c r="AA35" s="37">
        <f t="shared" si="5"/>
        <v>1</v>
      </c>
      <c r="AB35" s="37">
        <v>1</v>
      </c>
      <c r="AC35" s="50">
        <f>IF(AB35/AA35&gt;100%,100%,AB35/AA35)</f>
        <v>1</v>
      </c>
      <c r="AD35" s="51" t="s">
        <v>267</v>
      </c>
      <c r="AE35" s="51" t="s">
        <v>268</v>
      </c>
      <c r="AF35" s="43">
        <f t="shared" si="1"/>
        <v>1</v>
      </c>
      <c r="AG35" s="15"/>
      <c r="AH35" s="15"/>
      <c r="AI35" s="47"/>
      <c r="AJ35" s="47"/>
      <c r="AK35" s="43">
        <f t="shared" si="2"/>
        <v>0</v>
      </c>
      <c r="AL35" s="15"/>
      <c r="AM35" s="15"/>
      <c r="AN35" s="47"/>
      <c r="AO35" s="47"/>
      <c r="AP35" s="43">
        <f t="shared" si="3"/>
        <v>1</v>
      </c>
      <c r="AQ35" s="43">
        <f>(100%*50%)</f>
        <v>0.5</v>
      </c>
      <c r="AR35" s="45">
        <f t="shared" si="11"/>
        <v>0.5</v>
      </c>
      <c r="AS35" s="51" t="s">
        <v>267</v>
      </c>
    </row>
    <row r="36" spans="1:45" ht="120">
      <c r="A36" s="15">
        <v>5</v>
      </c>
      <c r="B36" s="15" t="s">
        <v>269</v>
      </c>
      <c r="C36" s="15" t="s">
        <v>270</v>
      </c>
      <c r="D36" s="15" t="s">
        <v>271</v>
      </c>
      <c r="E36" s="16">
        <v>0.04</v>
      </c>
      <c r="F36" s="15" t="s">
        <v>225</v>
      </c>
      <c r="G36" s="15" t="s">
        <v>272</v>
      </c>
      <c r="H36" s="15" t="s">
        <v>273</v>
      </c>
      <c r="I36" s="15"/>
      <c r="J36" s="17" t="s">
        <v>274</v>
      </c>
      <c r="K36" s="17" t="s">
        <v>275</v>
      </c>
      <c r="L36" s="18">
        <v>0.33</v>
      </c>
      <c r="M36" s="18">
        <v>0.67</v>
      </c>
      <c r="N36" s="18">
        <v>1</v>
      </c>
      <c r="O36" s="18">
        <v>0</v>
      </c>
      <c r="P36" s="18">
        <v>1</v>
      </c>
      <c r="Q36" s="15" t="s">
        <v>95</v>
      </c>
      <c r="R36" s="15" t="s">
        <v>276</v>
      </c>
      <c r="S36" s="15" t="s">
        <v>277</v>
      </c>
      <c r="T36" s="15" t="s">
        <v>278</v>
      </c>
      <c r="U36" s="15" t="s">
        <v>277</v>
      </c>
      <c r="V36" s="37">
        <f>L36</f>
        <v>0.33</v>
      </c>
      <c r="W36" s="45">
        <v>0.97389999999999999</v>
      </c>
      <c r="X36" s="43">
        <v>1</v>
      </c>
      <c r="Y36" s="102" t="s">
        <v>279</v>
      </c>
      <c r="Z36" s="51"/>
      <c r="AA36" s="37">
        <f t="shared" si="5"/>
        <v>0.67</v>
      </c>
      <c r="AB36" s="50">
        <v>0.98299999999999998</v>
      </c>
      <c r="AC36" s="50">
        <f>IF(AB36/AA36&gt;100%,100%,AB36/AA36)</f>
        <v>1</v>
      </c>
      <c r="AD36" s="51" t="s">
        <v>280</v>
      </c>
      <c r="AE36" s="51" t="s">
        <v>281</v>
      </c>
      <c r="AF36" s="43">
        <f t="shared" si="1"/>
        <v>1</v>
      </c>
      <c r="AG36" s="15"/>
      <c r="AH36" s="15"/>
      <c r="AI36" s="47"/>
      <c r="AJ36" s="47"/>
      <c r="AK36" s="43">
        <f t="shared" si="2"/>
        <v>0</v>
      </c>
      <c r="AL36" s="15"/>
      <c r="AM36" s="15"/>
      <c r="AN36" s="47"/>
      <c r="AO36" s="47"/>
      <c r="AP36" s="43">
        <f t="shared" si="3"/>
        <v>1</v>
      </c>
      <c r="AQ36" s="45">
        <v>0.98299999999999998</v>
      </c>
      <c r="AR36" s="45">
        <f t="shared" si="11"/>
        <v>0.98299999999999998</v>
      </c>
      <c r="AS36" s="51" t="s">
        <v>280</v>
      </c>
    </row>
    <row r="37" spans="1:45" s="29" customFormat="1" ht="15.75">
      <c r="A37" s="12"/>
      <c r="B37" s="12"/>
      <c r="C37" s="12"/>
      <c r="D37" s="21" t="s">
        <v>282</v>
      </c>
      <c r="E37" s="22">
        <f>SUM(E32:E36)</f>
        <v>0.2</v>
      </c>
      <c r="F37" s="21"/>
      <c r="G37" s="21"/>
      <c r="H37" s="21"/>
      <c r="I37" s="21"/>
      <c r="J37" s="21"/>
      <c r="K37" s="21"/>
      <c r="L37" s="23">
        <f>AVERAGE(L33:L36)</f>
        <v>0.33250000000000002</v>
      </c>
      <c r="M37" s="23">
        <f>AVERAGE(M33:M36)</f>
        <v>0.91749999999999998</v>
      </c>
      <c r="N37" s="23">
        <f>AVERAGE(N33:N36)</f>
        <v>1</v>
      </c>
      <c r="O37" s="23">
        <f>AVERAGE(O33:O36)</f>
        <v>0.5</v>
      </c>
      <c r="P37" s="23">
        <f>AVERAGE(P33:P36)</f>
        <v>1</v>
      </c>
      <c r="Q37" s="21"/>
      <c r="R37" s="12"/>
      <c r="S37" s="12"/>
      <c r="T37" s="12"/>
      <c r="U37" s="12"/>
      <c r="V37" s="63"/>
      <c r="W37" s="63"/>
      <c r="X37" s="64">
        <f>AVERAGE(X32:X36)*20%</f>
        <v>0.15000000000000002</v>
      </c>
      <c r="Y37" s="58"/>
      <c r="Z37" s="58"/>
      <c r="AA37" s="65"/>
      <c r="AB37" s="63"/>
      <c r="AC37" s="83">
        <f>AVERAGE(AC32:AC36)*20%</f>
        <v>0.17161000000000004</v>
      </c>
      <c r="AD37" s="77"/>
      <c r="AE37" s="77"/>
      <c r="AF37" s="65"/>
      <c r="AG37" s="63"/>
      <c r="AH37" s="63" t="e">
        <f>AVERAGE(AH32:AH36)*20%</f>
        <v>#DIV/0!</v>
      </c>
      <c r="AI37" s="60"/>
      <c r="AJ37" s="60"/>
      <c r="AK37" s="65"/>
      <c r="AL37" s="63"/>
      <c r="AM37" s="63" t="e">
        <f>AVERAGE(AM32:AM36)*20%</f>
        <v>#DIV/0!</v>
      </c>
      <c r="AN37" s="60"/>
      <c r="AO37" s="60"/>
      <c r="AP37" s="66"/>
      <c r="AQ37" s="66"/>
      <c r="AR37" s="86">
        <f>AVERAGE(AR32:AR36)*20%</f>
        <v>9.81958E-2</v>
      </c>
      <c r="AS37" s="77"/>
    </row>
    <row r="38" spans="1:45" s="30" customFormat="1" ht="18.75">
      <c r="A38" s="24"/>
      <c r="B38" s="24"/>
      <c r="C38" s="24"/>
      <c r="D38" s="25" t="s">
        <v>283</v>
      </c>
      <c r="E38" s="26">
        <f>E37+E31</f>
        <v>1.0000000000000009</v>
      </c>
      <c r="F38" s="24"/>
      <c r="G38" s="24"/>
      <c r="H38" s="24"/>
      <c r="I38" s="24"/>
      <c r="J38" s="24"/>
      <c r="K38" s="24"/>
      <c r="L38" s="27">
        <f>L37*$E$37</f>
        <v>6.6500000000000004E-2</v>
      </c>
      <c r="M38" s="27">
        <f>M37*$E$37</f>
        <v>0.1835</v>
      </c>
      <c r="N38" s="27">
        <f>N37*$E$37</f>
        <v>0.2</v>
      </c>
      <c r="O38" s="27">
        <f>O37*$E$37</f>
        <v>0.1</v>
      </c>
      <c r="P38" s="27">
        <f>P37*$E$37</f>
        <v>0.2</v>
      </c>
      <c r="Q38" s="24"/>
      <c r="R38" s="24"/>
      <c r="S38" s="24"/>
      <c r="T38" s="24"/>
      <c r="U38" s="24"/>
      <c r="V38" s="67"/>
      <c r="W38" s="67"/>
      <c r="X38" s="68">
        <f>X31+X37</f>
        <v>0.75343291301169601</v>
      </c>
      <c r="Y38" s="69"/>
      <c r="Z38" s="69"/>
      <c r="AA38" s="70"/>
      <c r="AB38" s="67"/>
      <c r="AC38" s="84">
        <f>AC31+AC37</f>
        <v>0.86758409700722405</v>
      </c>
      <c r="AD38" s="78"/>
      <c r="AE38" s="78"/>
      <c r="AF38" s="70"/>
      <c r="AG38" s="67"/>
      <c r="AH38" s="68" t="e">
        <f>AH31+AH37</f>
        <v>#DIV/0!</v>
      </c>
      <c r="AI38" s="71"/>
      <c r="AJ38" s="71"/>
      <c r="AK38" s="70"/>
      <c r="AL38" s="67"/>
      <c r="AM38" s="68" t="e">
        <f>AM31+AM37</f>
        <v>#DIV/0!</v>
      </c>
      <c r="AN38" s="71"/>
      <c r="AO38" s="71"/>
      <c r="AP38" s="72"/>
      <c r="AQ38" s="72"/>
      <c r="AR38" s="84">
        <f>AR31+AR37</f>
        <v>0.46046392869065383</v>
      </c>
      <c r="AS38" s="78"/>
    </row>
  </sheetData>
  <sheetProtection algorithmName="SHA-512" hashValue="XkfJXXck+ph3LN6wJkItW2Xdt6yJMhehUp2JBf+gQykhxnbXRzRk16ekUaMMxB4NuU9qdFgJqPWll18VGnE+BA==" saltValue="gJR+DgEYSNgOhBEdMHgS2Q==" spinCount="100000" sheet="1" objects="1" scenarios="1" formatColumns="0" formatRows="0" selectLockedCells="1" autoFilter="0" selectUnlockedCells="1"/>
  <mergeCells count="24">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 ref="A10:B11"/>
    <mergeCell ref="C10:C12"/>
    <mergeCell ref="D10:P11"/>
    <mergeCell ref="A1:K1"/>
    <mergeCell ref="L1:P1"/>
    <mergeCell ref="A2:P2"/>
    <mergeCell ref="A4:B8"/>
    <mergeCell ref="C4:D8"/>
  </mergeCells>
  <dataValidations count="3">
    <dataValidation allowBlank="1" showInputMessage="1" showErrorMessage="1" error="Escriba un texto " promptTitle="Cualquier contenido" sqref="F13:F30"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sqref="AS24 Y15:Y30 AS27:AS30 Y33 Y36 AS15 AS18" xr:uid="{00000000-0002-0000-0000-000001000000}">
      <formula1>2500</formula1>
    </dataValidation>
    <dataValidation type="textLength" operator="lessThanOrEqual" allowBlank="1" showInputMessage="1" showErrorMessage="1" error="Por favor ingresar menos de 2.500 caracteres, incluyendo espacios." sqref="W15:X30 W36:X36 Z15:Z30 Z33 W33:X33 Z36" xr:uid="{00000000-0002-0000-0000-000002000000}">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Jennifer Vannesa Diaz Nino</cp:lastModifiedBy>
  <cp:revision/>
  <dcterms:created xsi:type="dcterms:W3CDTF">2021-01-25T18:44:53Z</dcterms:created>
  <dcterms:modified xsi:type="dcterms:W3CDTF">2021-08-18T20:15:04Z</dcterms:modified>
  <cp:category/>
  <cp:contentStatus/>
</cp:coreProperties>
</file>