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gobiernobogota-my.sharepoint.com/personal/blanca_navarro_gobiernobogota_gov_co/Documents/ARCHIVOS CALIDAD CHAPINERO/ARCHIVOS LADY CALIDAD CHAPINERO/PLAN DE GESTIÓN VIG.2021/REPORTES TRIMESTRALES/TERCER TRIMESTRE/"/>
    </mc:Choice>
  </mc:AlternateContent>
  <xr:revisionPtr revIDLastSave="0" documentId="8_{F60FC22C-CB1B-4F6E-B9F7-7CF702EC9CED}" xr6:coauthVersionLast="47" xr6:coauthVersionMax="47" xr10:uidLastSave="{00000000-0000-0000-0000-000000000000}"/>
  <workbookProtection lockStructure="1"/>
  <bookViews>
    <workbookView xWindow="-120" yWindow="-120" windowWidth="29040" windowHeight="15840" xr2:uid="{00000000-000D-0000-FFFF-FFFF00000000}"/>
  </bookViews>
  <sheets>
    <sheet name="2021 chapinero" sheetId="1" r:id="rId1"/>
  </sheets>
  <definedNames>
    <definedName name="_xlnm._FilterDatabase" localSheetId="0" hidden="1">'2021 chapinero'!$A$13:$AS$39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5" i="1" l="1"/>
  <c r="AQ34" i="1"/>
  <c r="AQ31" i="1" l="1"/>
  <c r="AQ30" i="1"/>
  <c r="AQ29" i="1"/>
  <c r="AQ28" i="1"/>
  <c r="AQ27" i="1"/>
  <c r="AQ25" i="1"/>
  <c r="AQ24" i="1"/>
  <c r="AQ23" i="1" l="1"/>
  <c r="AQ22" i="1"/>
  <c r="AQ21" i="1"/>
  <c r="AQ36" i="1" l="1"/>
  <c r="AQ33" i="1"/>
  <c r="AM38" i="1" l="1"/>
  <c r="AC14" i="1"/>
  <c r="X38" i="1"/>
  <c r="E31" i="1"/>
  <c r="E30" i="1"/>
  <c r="E29" i="1"/>
  <c r="E28" i="1"/>
  <c r="E27" i="1"/>
  <c r="E26" i="1"/>
  <c r="E25" i="1"/>
  <c r="E24" i="1"/>
  <c r="E23" i="1"/>
  <c r="E22" i="1"/>
  <c r="E21" i="1"/>
  <c r="E20" i="1"/>
  <c r="E19" i="1"/>
  <c r="E18" i="1"/>
  <c r="E32" i="1" s="1"/>
  <c r="E17" i="1"/>
  <c r="E16" i="1"/>
  <c r="E15" i="1"/>
  <c r="E14" i="1"/>
  <c r="P31" i="1"/>
  <c r="AP31" i="1" s="1"/>
  <c r="AR31" i="1" s="1"/>
  <c r="P30" i="1"/>
  <c r="AP30" i="1" s="1"/>
  <c r="AR30" i="1" s="1"/>
  <c r="P29" i="1"/>
  <c r="P28" i="1"/>
  <c r="P27" i="1"/>
  <c r="P26" i="1"/>
  <c r="AP26" i="1" s="1"/>
  <c r="AR26" i="1" s="1"/>
  <c r="P25" i="1"/>
  <c r="AP25" i="1" s="1"/>
  <c r="AR25" i="1" s="1"/>
  <c r="P24" i="1"/>
  <c r="AP24" i="1" s="1"/>
  <c r="AR24" i="1" s="1"/>
  <c r="L38" i="1"/>
  <c r="P38" i="1"/>
  <c r="O38" i="1"/>
  <c r="N38" i="1"/>
  <c r="M38" i="1"/>
  <c r="AP37" i="1"/>
  <c r="AR37" i="1" s="1"/>
  <c r="AP36" i="1"/>
  <c r="AR36" i="1" s="1"/>
  <c r="AP35" i="1"/>
  <c r="AR35" i="1" s="1"/>
  <c r="AP34" i="1"/>
  <c r="AR34" i="1" s="1"/>
  <c r="AP33" i="1"/>
  <c r="AR33" i="1" s="1"/>
  <c r="AP29" i="1"/>
  <c r="AR29" i="1" s="1"/>
  <c r="AP28" i="1"/>
  <c r="AR28" i="1" s="1"/>
  <c r="AP27" i="1"/>
  <c r="AR27" i="1" s="1"/>
  <c r="AP23" i="1"/>
  <c r="AR23" i="1" s="1"/>
  <c r="AP22" i="1"/>
  <c r="AR22" i="1" s="1"/>
  <c r="AP21" i="1"/>
  <c r="AR21" i="1" s="1"/>
  <c r="AP20" i="1"/>
  <c r="AR20" i="1" s="1"/>
  <c r="AP19" i="1"/>
  <c r="AR19" i="1" s="1"/>
  <c r="AP18" i="1"/>
  <c r="AR18" i="1" s="1"/>
  <c r="AP17" i="1"/>
  <c r="AR17" i="1" s="1"/>
  <c r="AP16" i="1"/>
  <c r="AP15" i="1"/>
  <c r="AP14" i="1"/>
  <c r="AR14" i="1" s="1"/>
  <c r="AK37" i="1"/>
  <c r="AK36" i="1"/>
  <c r="AK35" i="1"/>
  <c r="AK34" i="1"/>
  <c r="AK33" i="1"/>
  <c r="AK31" i="1"/>
  <c r="AM31" i="1" s="1"/>
  <c r="AK30" i="1"/>
  <c r="AM30" i="1" s="1"/>
  <c r="AK29" i="1"/>
  <c r="AM29" i="1" s="1"/>
  <c r="AK28" i="1"/>
  <c r="AM28" i="1" s="1"/>
  <c r="AK27" i="1"/>
  <c r="AM27" i="1" s="1"/>
  <c r="AK26" i="1"/>
  <c r="AM26" i="1" s="1"/>
  <c r="AK25" i="1"/>
  <c r="AM25" i="1" s="1"/>
  <c r="AK24" i="1"/>
  <c r="AM24" i="1" s="1"/>
  <c r="AK23" i="1"/>
  <c r="AM23" i="1" s="1"/>
  <c r="AK22" i="1"/>
  <c r="AM22" i="1" s="1"/>
  <c r="AK21" i="1"/>
  <c r="AM21" i="1" s="1"/>
  <c r="AK20" i="1"/>
  <c r="AM20" i="1" s="1"/>
  <c r="AK19" i="1"/>
  <c r="AM19" i="1" s="1"/>
  <c r="AK18" i="1"/>
  <c r="AM18" i="1" s="1"/>
  <c r="AK17" i="1"/>
  <c r="AM17" i="1" s="1"/>
  <c r="AK16" i="1"/>
  <c r="AM16" i="1" s="1"/>
  <c r="AK15" i="1"/>
  <c r="AM15" i="1" s="1"/>
  <c r="AK14" i="1"/>
  <c r="AM14" i="1" s="1"/>
  <c r="AF37" i="1"/>
  <c r="AH37" i="1" s="1"/>
  <c r="AF35" i="1"/>
  <c r="AH35" i="1" s="1"/>
  <c r="AF34" i="1"/>
  <c r="AH34" i="1" s="1"/>
  <c r="AF31" i="1"/>
  <c r="AH31" i="1" s="1"/>
  <c r="AF30" i="1"/>
  <c r="AH30" i="1" s="1"/>
  <c r="AF29" i="1"/>
  <c r="AH29" i="1" s="1"/>
  <c r="AF28" i="1"/>
  <c r="AH28" i="1" s="1"/>
  <c r="AF27" i="1"/>
  <c r="AH27" i="1" s="1"/>
  <c r="AF26" i="1"/>
  <c r="AH26" i="1" s="1"/>
  <c r="AF25" i="1"/>
  <c r="AH25" i="1" s="1"/>
  <c r="AF24" i="1"/>
  <c r="AH24" i="1" s="1"/>
  <c r="AF23" i="1"/>
  <c r="AH23" i="1" s="1"/>
  <c r="AF22" i="1"/>
  <c r="AH22" i="1" s="1"/>
  <c r="AF21" i="1"/>
  <c r="AH21" i="1" s="1"/>
  <c r="AF20" i="1"/>
  <c r="AH20" i="1" s="1"/>
  <c r="AF19" i="1"/>
  <c r="AH19" i="1" s="1"/>
  <c r="AF18" i="1"/>
  <c r="AH18" i="1" s="1"/>
  <c r="AF17" i="1"/>
  <c r="AH17" i="1" s="1"/>
  <c r="AF16" i="1"/>
  <c r="AH16" i="1" s="1"/>
  <c r="AH14" i="1"/>
  <c r="AA37" i="1"/>
  <c r="AC37" i="1" s="1"/>
  <c r="AA36" i="1"/>
  <c r="AC36" i="1" s="1"/>
  <c r="AA35" i="1"/>
  <c r="AC35" i="1" s="1"/>
  <c r="AA34" i="1"/>
  <c r="AC34" i="1" s="1"/>
  <c r="AA33" i="1"/>
  <c r="AC33" i="1" s="1"/>
  <c r="AA31" i="1"/>
  <c r="AC31" i="1" s="1"/>
  <c r="AA30" i="1"/>
  <c r="AC30" i="1" s="1"/>
  <c r="AA29" i="1"/>
  <c r="AC29" i="1" s="1"/>
  <c r="AA28" i="1"/>
  <c r="AC28" i="1" s="1"/>
  <c r="AA27" i="1"/>
  <c r="AC27" i="1" s="1"/>
  <c r="AA26" i="1"/>
  <c r="AC26" i="1" s="1"/>
  <c r="AA25" i="1"/>
  <c r="AC25" i="1" s="1"/>
  <c r="AA24" i="1"/>
  <c r="AC24" i="1" s="1"/>
  <c r="AA23" i="1"/>
  <c r="AC23" i="1" s="1"/>
  <c r="AA22" i="1"/>
  <c r="AC22" i="1" s="1"/>
  <c r="AA21" i="1"/>
  <c r="AC21" i="1" s="1"/>
  <c r="AA20" i="1"/>
  <c r="AC20" i="1" s="1"/>
  <c r="AA19" i="1"/>
  <c r="AC19" i="1" s="1"/>
  <c r="AA18" i="1"/>
  <c r="AC18" i="1" s="1"/>
  <c r="AA17" i="1"/>
  <c r="AC17" i="1" s="1"/>
  <c r="AA16" i="1"/>
  <c r="AC16" i="1" s="1"/>
  <c r="V37" i="1"/>
  <c r="V34" i="1"/>
  <c r="V31" i="1"/>
  <c r="V30" i="1"/>
  <c r="V29" i="1"/>
  <c r="V28" i="1"/>
  <c r="V27" i="1"/>
  <c r="X27" i="1" s="1"/>
  <c r="V26" i="1"/>
  <c r="V25" i="1"/>
  <c r="V24" i="1"/>
  <c r="X24" i="1" s="1"/>
  <c r="V23" i="1"/>
  <c r="X23" i="1" s="1"/>
  <c r="V22" i="1"/>
  <c r="X22" i="1" s="1"/>
  <c r="V21" i="1"/>
  <c r="X21" i="1" s="1"/>
  <c r="V20" i="1"/>
  <c r="V19" i="1"/>
  <c r="V18" i="1"/>
  <c r="V17" i="1"/>
  <c r="X17" i="1" s="1"/>
  <c r="V16" i="1"/>
  <c r="E38" i="1"/>
  <c r="O39" i="1" l="1"/>
  <c r="AH38" i="1"/>
  <c r="AR38" i="1"/>
  <c r="AR32" i="1"/>
  <c r="P39" i="1"/>
  <c r="E39" i="1"/>
  <c r="M39" i="1"/>
  <c r="AC38" i="1"/>
  <c r="L39" i="1"/>
  <c r="N39" i="1"/>
  <c r="AH32" i="1"/>
  <c r="AH39" i="1" s="1"/>
  <c r="AM32" i="1"/>
  <c r="AM39" i="1" s="1"/>
  <c r="X32" i="1"/>
  <c r="X39" i="1" s="1"/>
  <c r="AC32" i="1"/>
  <c r="AR39" i="1" l="1"/>
  <c r="AC39" i="1"/>
</calcChain>
</file>

<file path=xl/sharedStrings.xml><?xml version="1.0" encoding="utf-8"?>
<sst xmlns="http://schemas.openxmlformats.org/spreadsheetml/2006/main" count="567" uniqueCount="324">
  <si>
    <r>
      <t xml:space="preserve">ALCALDÍA LOCAL DE </t>
    </r>
    <r>
      <rPr>
        <b/>
        <u/>
        <sz val="11"/>
        <color indexed="8"/>
        <rFont val="Calibri Light"/>
        <family val="2"/>
      </rPr>
      <t>CHAPINERO</t>
    </r>
  </si>
  <si>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 xml:space="preserve">Caso HOLA: </t>
    </r>
    <r>
      <rPr>
        <sz val="11"/>
        <color indexed="8"/>
        <rFont val="Calibri Light"/>
        <family val="2"/>
      </rPr>
      <t>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</si>
  <si>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</si>
  <si>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</si>
  <si>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</si>
  <si>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</si>
  <si>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</si>
  <si>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</si>
  <si>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</si>
  <si>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1 de marzo 2021</t>
  </si>
  <si>
    <t>Publicación del plan de gestión aprobado. Caso HOLA: 158311</t>
  </si>
  <si>
    <t>28 de abril de 2021</t>
  </si>
  <si>
    <t>Para el primer trimestre de la vigencia 2021, el plan de gestión de la Alcaldía Local alcanzó un nivel de desempeño del 75% de acuerdo con lo programado, y del 33%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</si>
  <si>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30 de julio de 2021</t>
  </si>
  <si>
    <t>Para el segundo trimestre de la vigencia 2021, el plan de gestión de la Alcaldía Local alcanzó un nivel de desempeño del 86,76% de acuerdo con lo programado, y del 46,05% acumulado para la vigencia.</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</si>
  <si>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</si>
  <si>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</si>
  <si>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</si>
  <si>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</si>
  <si>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</si>
  <si>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</si>
  <si>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</si>
  <si>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</si>
  <si>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</si>
  <si>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</si>
  <si>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</si>
  <si>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</si>
  <si>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</si>
  <si>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</si>
  <si>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</si>
  <si>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</si>
  <si>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</si>
  <si>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</si>
  <si>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</si>
  <si>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</si>
  <si>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</si>
  <si>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</si>
  <si>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</si>
  <si>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</si>
  <si>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</si>
  <si>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</si>
  <si>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</si>
  <si>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</si>
  <si>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</si>
  <si>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</si>
  <si>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</si>
  <si>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</si>
  <si>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</si>
  <si>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</si>
  <si>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</si>
  <si>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</si>
  <si>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</si>
  <si>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</si>
  <si>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</si>
  <si>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r>
      <t xml:space="preserve">1. Cumplir el </t>
    </r>
    <r>
      <rPr>
        <b/>
        <sz val="11"/>
        <color indexed="8"/>
        <rFont val="Calibri Light"/>
        <family val="2"/>
      </rPr>
      <t>10%</t>
    </r>
    <r>
      <rPr>
        <sz val="11"/>
        <color indexed="8"/>
        <rFont val="Calibri Light"/>
        <family val="2"/>
      </rPr>
      <t xml:space="preserve"> de las metas del Plan de Desarrollo Local (metas entregadas)</t>
    </r>
  </si>
  <si>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</si>
  <si>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</si>
  <si>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</si>
  <si>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</si>
  <si>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</si>
  <si>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</si>
  <si>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</si>
  <si>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</si>
  <si>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</si>
  <si>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</si>
  <si>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</si>
  <si>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</si>
  <si>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 xml:space="preserve">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 Esta medición refleja el avance con corte al primer trimestre de esta vigencia sobre el avance físico de las metas del plan de desarrollo local.  Para el primer trimestre, la Alcaldía Local alcanzó un avance del 0,6%. 
Nota: se ajusta la programación de la meta para el II Trimestre de 2021, dado que la información disponible corresponde al I Trimestre. </t>
  </si>
  <si>
    <t>Reporte de ejecución de la meta aportado por la DGDL proveniente de la MUSI</t>
  </si>
  <si>
    <t xml:space="preserve">Reporte trimestral de avance del Plan de Desarrollo Local – PDL 
Matriz MUSI </t>
  </si>
  <si>
    <r>
      <t xml:space="preserve">2. Incrementar en </t>
    </r>
    <r>
      <rPr>
        <b/>
        <sz val="11"/>
        <color indexed="8"/>
        <rFont val="Calibri Light"/>
        <family val="2"/>
      </rPr>
      <t xml:space="preserve">15% </t>
    </r>
    <r>
      <rPr>
        <sz val="11"/>
        <color indexed="8"/>
        <rFont val="Calibri Light"/>
        <family val="2"/>
      </rPr>
      <t>la participación efectiva la ciudadanía  votantes) en los ejercicios de presupuestos participativos Fase II con respecto al año anterior</t>
    </r>
  </si>
  <si>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</si>
  <si>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</si>
  <si>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</si>
  <si>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</si>
  <si>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</si>
  <si>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</si>
  <si>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</si>
  <si>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No programada para el II trimestre de 2021.</t>
  </si>
  <si>
    <r>
      <t xml:space="preserve">3. Lograr que el </t>
    </r>
    <r>
      <rPr>
        <b/>
        <sz val="11"/>
        <rFont val="Calibri Light"/>
        <family val="2"/>
      </rPr>
      <t xml:space="preserve">100% </t>
    </r>
    <r>
      <rPr>
        <sz val="11"/>
        <rFont val="Calibri Light"/>
        <family val="2"/>
      </rPr>
      <t xml:space="preserve"> de las propuestas ganadoras de  presupuestos participativos (Fase II) cuenten con todos los recursos comprometidos en la vigencia.</t>
    </r>
  </si>
  <si>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</si>
  <si>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</si>
  <si>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</si>
  <si>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</si>
  <si>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</si>
  <si>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</si>
  <si>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 xml:space="preserve">El FDL de Chapinero ha realizado un proceso de inversión en capacidad institucional, en talento humano altamente capacitado, para lograr dar alcance a las metas del Plan de Desarrollo, atender a los promotores ciudadanos y tener las condiciones dadas para que las propuestas ganadoras (38 iniciativas ciudadanas) sean llevadas totalmente a satisfacción; por ello, de las 17 metas con presupuestos participativos que ascienden de acuerdo con la asignación presupuestal de 2021, a $6.724.854 de los cuales se han comprometido $386.007.000. Se adjunta archivo con detalle.
Para el I Trimestre 2021, se están estructurando-actualizando los proyectos de inversión asociados a las propuestas ganadoras de presupuestos participativos.
Por lo anterior, aún no se han registrado avances en la plataforma de Gobierno Abierto para Bogotá, que es de donde se extraerá la información para próximos seguimientos.
</t>
  </si>
  <si>
    <t xml:space="preserve">Reporte de recursos comprometidos y con Registro Presupuestal
Plataforma Gobierno Abierto para Bogotá
Acta de acuerdo participativo
BOGDATA
</t>
  </si>
  <si>
    <t xml:space="preserve">La Alcaldía Local de Chapinero logró la ejecución de 6 propuestas ganadoras de presupuestos participativos (Fase II), de las 37 propuestas ganadoras.
El FDL de Chapinero ha realizado un proceso de inversión en capacidad institucional, en talento humano altamente capacitado, para lograr dar alcance a las metas del Plan de Desarrollo, atender a los promotores ciudadanos y tener las condiciones dadas para que las propuestas ganadoras (38 iniciativas ciudadanas) sean llevadas totalmente satisfechas; por ello, de las 17 metas con presupuestos se calcula el porcentaje del presente indicador con 6 de estas metas que ya tienen aprobación del comité de contratación. Con los proyectos 1848, 1853 y 1671 </t>
  </si>
  <si>
    <t>Reporte Dirección para la Gestión del Desarrollo Local
Reporte de recursos comprometidos y con Registro Presupuestal 
Plataforma Gobierno Abierto para Bogotá 
Acta de acuerdo participativo 
BOGDATA 
Actas de Comite
Cronograma de Seguimiento</t>
  </si>
  <si>
    <t xml:space="preserve">Herramienta de Power BI "Balance General Proyectos de Inversión y PP vig.2021”. 
Reporte de recursos comprometidos y con Registro Presupuestal 
Plataforma Gobierno Abierto para Bogotá 
Acta de acuerdo participativo 
BOGDATA 
 </t>
  </si>
  <si>
    <t>Gestión corporativa institucional (local)</t>
  </si>
  <si>
    <r>
      <t xml:space="preserve">4. Girar mínimo el </t>
    </r>
    <r>
      <rPr>
        <b/>
        <sz val="11"/>
        <color indexed="8"/>
        <rFont val="Calibri Light"/>
        <family val="2"/>
      </rPr>
      <t>60%</t>
    </r>
    <r>
      <rPr>
        <sz val="11"/>
        <color indexed="8"/>
        <rFont val="Calibri Light"/>
        <family val="2"/>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</si>
  <si>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</si>
  <si>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</si>
  <si>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</si>
  <si>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</si>
  <si>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</si>
  <si>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</si>
  <si>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El 100% de los pagos autorizados por los apoyos a la supervisión se giraron equivalentes al 14,65% reportado</t>
  </si>
  <si>
    <t xml:space="preserve">Reporte seguimiento mensual consolidado
Reporte BOGDATA
</t>
  </si>
  <si>
    <t>La Alcaldía Local Chapinero giró $3.476.095.542del presupuesto comprometido constituido como obligaciones por pagar de la vigencia 2020, equivalente a $10.397.071.031, lo cual corresponde a un nivel de ejecución del 33,43%.</t>
  </si>
  <si>
    <t>Reporte BOGDATA 
Reporte de seguimiento presentado por la Dirección para la Gestión del Desarrollo Local.</t>
  </si>
  <si>
    <r>
      <t>5. Girar mínimo el </t>
    </r>
    <r>
      <rPr>
        <b/>
        <sz val="11"/>
        <color indexed="8"/>
        <rFont val="Calibri Light"/>
        <family val="2"/>
      </rPr>
      <t xml:space="preserve"> 60% </t>
    </r>
    <r>
      <rPr>
        <sz val="11"/>
        <color indexed="8"/>
        <rFont val="Calibri Light"/>
        <family val="2"/>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</si>
  <si>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</si>
  <si>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</si>
  <si>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El 100% de los pagos autorizados por los apoyos a la supervisión se giraron equivalentes al 15,10% reportado</t>
  </si>
  <si>
    <t>Para el II Trimestre de 2021, la Alcaldía Local Chapinero ha girado $4858371900del presupuesto comprometido constituido como obligaciones por pagar de la vigencia 2019 y anteriores, equivalente a $11971234952, lo que representa un nivel de ejecución del 40,58%.</t>
  </si>
  <si>
    <t>Reporte de seguimiento presentado por la Dirección para la Gestión del Desarrollo Local.
Reporte BOGDATA</t>
  </si>
  <si>
    <r>
      <t xml:space="preserve">6. Comprometer mínimo el </t>
    </r>
    <r>
      <rPr>
        <b/>
        <sz val="11"/>
        <color indexed="8"/>
        <rFont val="Calibri Light"/>
        <family val="2"/>
      </rPr>
      <t>25%</t>
    </r>
    <r>
      <rPr>
        <sz val="11"/>
        <color indexed="8"/>
        <rFont val="Calibri Light"/>
        <family val="2"/>
      </rPr>
      <t xml:space="preserve"> al 30 de junio y el </t>
    </r>
    <r>
      <rPr>
        <b/>
        <sz val="11"/>
        <color indexed="8"/>
        <rFont val="Calibri Light"/>
        <family val="2"/>
      </rPr>
      <t>95%</t>
    </r>
    <r>
      <rPr>
        <sz val="11"/>
        <color indexed="8"/>
        <rFont val="Calibri Light"/>
        <family val="2"/>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</si>
  <si>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</si>
  <si>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</si>
  <si>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</si>
  <si>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La contratación se da en razón a los contratos legalizados en el primer trimestre y a transferencias como la de ingreso solidario</t>
  </si>
  <si>
    <t>Para el II Trimestre de 2021, la Alcaldía Local de Chapinero comprometió $5.711.845.852 de los $15.888.914.000 asignados como presupuesto de inversión directa de la vigencia 2021, lo que representa un nivel de ejecución del 35,95%, superando lo esperado para el periodo, gracias a la gestión del alcalde  local y su equipo de trabajo. 
Nota: De acuerdo con  lo informado por la alcaldía local, la meta se cumplió en un 33,97%,  dado que no se incluye el valor de los excedentes financieros.</t>
  </si>
  <si>
    <t xml:space="preserve">Reporte de seguimiento presentado por la Dirección para la Gestión del Desarrollo Local. 
Reporte BOGDATA </t>
  </si>
  <si>
    <r>
      <t xml:space="preserve">7. Girar mínimo el </t>
    </r>
    <r>
      <rPr>
        <b/>
        <sz val="11"/>
        <color indexed="8"/>
        <rFont val="Calibri Light"/>
        <family val="2"/>
      </rPr>
      <t>40% </t>
    </r>
    <r>
      <rPr>
        <sz val="11"/>
        <color indexed="8"/>
        <rFont val="Calibri Light"/>
        <family val="2"/>
      </rPr>
      <t>del presupuesto total  disponible de inversión directa de la vigencia</t>
    </r>
  </si>
  <si>
    <t>Porcentaje de giros acumulados</t>
  </si>
  <si>
    <t>(Giros acumulados de inversión directa/Presupuesto disponible de inversión directa de la vigencia)*100</t>
  </si>
  <si>
    <t>Se giraron el 100% de los pagos aprobados y la transferencia monetaria.</t>
  </si>
  <si>
    <t xml:space="preserve">La Alcaldía Local de Chapinero giró $3.413.129.569 de los $15.888.914.000 asignados como depuesto disponible de inversión directa de la vigencia, lo que representa un nivel de ejecución acumulado del 21,48%. </t>
  </si>
  <si>
    <t>Reporte de seguimiento presentado por la Dirección para la Gestión del Desarrollo Local.</t>
  </si>
  <si>
    <r>
      <t xml:space="preserve">8. Registrar en el sistema SIPSE Local, el </t>
    </r>
    <r>
      <rPr>
        <b/>
        <sz val="11"/>
        <color indexed="8"/>
        <rFont val="Calibri Light"/>
        <family val="2"/>
      </rPr>
      <t>95%</t>
    </r>
    <r>
      <rPr>
        <sz val="11"/>
        <color indexed="8"/>
        <rFont val="Calibri Light"/>
        <family val="2"/>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</si>
  <si>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</si>
  <si>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</si>
  <si>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</si>
  <si>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</si>
  <si>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A través del análisis de la información disponible con contratos electrónicos disponibles en SECOP II versus las solicitudes SIPSE que ha culminado su flujo y han superado la estación CARGUE DE CONTRATO -  CONTRATACION, se evidencia que 32 contratos han sido asociados en SIPSE de los contratos publicados en SECOPII para en el primer trimestre de 2021. Ver informe</t>
  </si>
  <si>
    <t xml:space="preserve">Reporte seguimiento mensual consolidado
Reporte SIPSE LOCAL y Reporte SECOP
</t>
  </si>
  <si>
    <t xml:space="preserve">La Alcaldía Local de Chapinero ha registrado 109 contratos de los 116 contratos publicados en la plataforma SECOP I y II, lo que representa un nivel de cumplimiento del 93,97% para el periodo. </t>
  </si>
  <si>
    <r>
      <t xml:space="preserve">9. Lograr que el </t>
    </r>
    <r>
      <rPr>
        <b/>
        <sz val="11"/>
        <color indexed="8"/>
        <rFont val="Calibri Light"/>
        <family val="2"/>
      </rPr>
      <t>100%</t>
    </r>
    <r>
      <rPr>
        <sz val="11"/>
        <color indexed="8"/>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</si>
  <si>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</si>
  <si>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</si>
  <si>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</si>
  <si>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</si>
  <si>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 xml:space="preserve">A través del análisis de la información disponible con contratos electrónicos disponibles en SECOPII versus las solicitudes SIPSE que ha culminado su flujo total, se evidencia que 17 contratos están en estado 2.2., de los contratos publicados en SECOP II para en el primer trimestre de 2021. Ver informe
</t>
  </si>
  <si>
    <t xml:space="preserve">Reporte seguimiento mensual consolidado
Reporte SIPSE LOCAL
</t>
  </si>
  <si>
    <t xml:space="preserve">La Alcaldía Local de Chapinero ha registrado 108 contratos en SIPSE Local en estado ejecución de los 108 contratos registrados en SIPSE Local, lo que equivale al 100%. </t>
  </si>
  <si>
    <t>Se logra una meta del 89,67% frente a los registros en el cargue de los contratos del SIPSE vs los mismos procesos en estado de ejecución</t>
  </si>
  <si>
    <t xml:space="preserve">Reporte seguimiento mensual consolidado 
Reporte SIPSE LOCAL 
Tablero de Indicadores de Seguimiento Área de Planeación Local </t>
  </si>
  <si>
    <r>
      <t xml:space="preserve">10. Registrar y actualizar al </t>
    </r>
    <r>
      <rPr>
        <b/>
        <sz val="11"/>
        <color indexed="8"/>
        <rFont val="Calibri Light"/>
        <family val="2"/>
      </rPr>
      <t>95%</t>
    </r>
    <r>
      <rPr>
        <sz val="11"/>
        <color indexed="8"/>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</si>
  <si>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</si>
  <si>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</si>
  <si>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</si>
  <si>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SIPSE Local</t>
  </si>
  <si>
    <t xml:space="preserve">Durante el primer trimestre se presenta el siguiente panorama:
100% utilización módulo proyectos
0% utilización módulo Banco de iniciativas
20% utilización módulos Contratos y Financiero, en relación con el indicador anterior. Ver informe
</t>
  </si>
  <si>
    <t xml:space="preserve">Este indicador se calcula a partir del promedio de ejecución de la meta 8 que corresponde al 93.9% la meta 9 del 100% y la ejecución de 25% del módulo de banco de iniciativas, se incluye pantallazo del cargue de 4 de 17 metas de banco de iniciativas </t>
  </si>
  <si>
    <t>Reporte seguimiento mensual consolidado 
Reporte SIPSE LOCAL</t>
  </si>
  <si>
    <t xml:space="preserve">100% utilización modulo proyectos 
100% utilización modulo Banco de iniciativas 
100% utilización modulos Contratos y Financiero </t>
  </si>
  <si>
    <t xml:space="preserve">Reporte seguimiento mensual consolidado 
Reporte SIPSE LOCAL 
Tablero de Indicadores de Seguimiento Área de Planeación Local </t>
  </si>
  <si>
    <t>Inspección, vigilancia y control</t>
  </si>
  <si>
    <r>
      <t xml:space="preserve">11. Impulsar procesalmente (avocar, rechazar, enviar al competente y todo lo que derive del desarrollo de la actuación), </t>
    </r>
    <r>
      <rPr>
        <b/>
        <sz val="11"/>
        <color indexed="8"/>
        <rFont val="Calibri Light"/>
        <family val="2"/>
      </rPr>
      <t>7.680</t>
    </r>
    <r>
      <rPr>
        <sz val="11"/>
        <color indexed="8"/>
        <rFont val="Calibri Light"/>
        <family val="2"/>
      </rPr>
      <t xml:space="preserve"> expedientes a cargo de las inspecciones de policía.</t>
    </r>
  </si>
  <si>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</si>
  <si>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</si>
  <si>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</si>
  <si>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</si>
  <si>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</si>
  <si>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</si>
  <si>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Conforme a lo anterior se entiende que con respecto a la META 11, lo programado para las 4 inspecciones son 1920 expedientes impulsándolos procesalmente. De acuerdo con el reporte de la DGP. Se impulsaron procesalmente 1.529 expedientes.</t>
  </si>
  <si>
    <t>Fallos de fondo – Aplicativo ARCO
MATRIZ DE CONSOLIDACIÓN</t>
  </si>
  <si>
    <t xml:space="preserve">En el segundo trimestre de 2021, la alcaldía local de Chapinero impulsó procesalmente 1910 expedientes a cargo de las inspecciones de policía, lo que representa un resultado de 99,48% para el periodo. </t>
  </si>
  <si>
    <t>Reporte de seguimiento presentado por la Dirección para la Gestión Policiva</t>
  </si>
  <si>
    <t xml:space="preserve">Se ha superado la meta del trimestre, con el impulso dado a los expedientes que se encuentran en curso ante las inspecciones de policía de Chapinero </t>
  </si>
  <si>
    <t xml:space="preserve">Fallos de fondo – Aplicativo ARCO, 
EXPEDIENTES POLICIVOS </t>
  </si>
  <si>
    <r>
      <t xml:space="preserve">12. Proferir </t>
    </r>
    <r>
      <rPr>
        <b/>
        <sz val="11"/>
        <color indexed="8"/>
        <rFont val="Calibri Light"/>
        <family val="2"/>
      </rPr>
      <t>3.840</t>
    </r>
    <r>
      <rPr>
        <sz val="11"/>
        <color indexed="8"/>
        <rFont val="Calibri Light"/>
        <family val="2"/>
      </rPr>
      <t xml:space="preserve"> de fallos en primera instancia sobre los expedientes a cargo de las inspecciones de policía</t>
    </r>
  </si>
  <si>
    <t>Fallos de fondo en primera instancia proferidos</t>
  </si>
  <si>
    <t>Número de Fallos de fondo en primera instancia proferidos</t>
  </si>
  <si>
    <t>Fallos de fondo</t>
  </si>
  <si>
    <t>Lo programado para las inspecciones entre fallos y archivos en primera instancia son 960, para lo cual se consolidó un total de 1.319 fallos y archivos entre las 4 inspecciones de chapinero, de acuerdo con el reporte de la DGP.</t>
  </si>
  <si>
    <t>Actuaciones administrativas terminadas
Aplicativo SI ACTUA
MATRIZ DE CONSOLIDACIÓN</t>
  </si>
  <si>
    <t>En el segundo trimestre de 2021, la alcaldía local de Chapinero profirió 1062 fallos en primera instancia sobre los expedientes a cargo de las inspecciones de policía, lo que representa un resultado de 100%  para el periodo según lo programado.</t>
  </si>
  <si>
    <t>En el Tercer trimestre de 2021, la alcaldía local de Chapinero profirió 1461 fallos en primera instancia sobre los expedientes a cargo de las inspecciones de policía, lo que representa un resultado de 100%  para el periodo según lo programado.</t>
  </si>
  <si>
    <t xml:space="preserve">Actuaciones administrativas terminadas 
Aplicativo SI ACTUA </t>
  </si>
  <si>
    <r>
      <t xml:space="preserve">13. Terminar (archivar), </t>
    </r>
    <r>
      <rPr>
        <b/>
        <sz val="11"/>
        <color indexed="8"/>
        <rFont val="Calibri Light"/>
        <family val="2"/>
      </rPr>
      <t xml:space="preserve">234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</si>
  <si>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</si>
  <si>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</si>
  <si>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</si>
  <si>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</si>
  <si>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</si>
  <si>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Actualmente se adelanta por parte del equipo la caracterización de actualización de los expedientes con la verificación física de los mismos</t>
  </si>
  <si>
    <t xml:space="preserve">Actuaciones administrativas terminadas por vía gubernativa
Aplicativo Si Actúa I
</t>
  </si>
  <si>
    <t>No se pudo avanzar en la meta para el segundo trimestre del año 2021, por cuanto por temas de fechas de contratación y  haber tenido durante el mes de marzo que atender un requerimiento de personería que obligó al equipo de descongestión a disponer de 2 semanas para atender este requerimiento. Además por temas de COVID parte del equipo fue afectado desde el 20 de marzo al 12 de abril del presente año, lo que dificulto el cumplimiento de metas</t>
  </si>
  <si>
    <t>Actuaciones administrativas terminadas por vía gubernativa 
Aplicativo Si Actúa I
Reporte de seguimiento presentado por la Dirección para la Gestión Policiva</t>
  </si>
  <si>
    <t xml:space="preserve">En el presente trimestre se pudo avanzar en un porcentaje del 100% con 95 actuaciones archivadas respecto de la meta de 69 actuaciones programadas para el trimestre  
 </t>
  </si>
  <si>
    <t>Actuaciones administrativas terminadas por vía gubernativa 
Aplicativo Si Actúa I</t>
  </si>
  <si>
    <r>
      <t xml:space="preserve">14. Terminar </t>
    </r>
    <r>
      <rPr>
        <b/>
        <sz val="11"/>
        <color indexed="8"/>
        <rFont val="Calibri Light"/>
        <family val="2"/>
      </rPr>
      <t>186</t>
    </r>
    <r>
      <rPr>
        <sz val="11"/>
        <color indexed="8"/>
        <rFont val="Calibri Light"/>
        <family val="2"/>
      </rPr>
      <t xml:space="preserve"> actuaciones administrativas en primera instancia</t>
    </r>
  </si>
  <si>
    <t>Actuaciones Administrativas terminadas hasta la primera instancia</t>
  </si>
  <si>
    <t>Número de Actuaciones Administrativas terminadas hasta la primera instancia</t>
  </si>
  <si>
    <t>Se finalizó el trámite de cobro persuasivo y se remitieron las actuaciones a la Secretaría de Hacienda Distrital para proseguir con el trámite de cobro coactivo.</t>
  </si>
  <si>
    <t xml:space="preserve">Registros operativos Alcaldía Local
</t>
  </si>
  <si>
    <t xml:space="preserve">En el segundo trimestre de 2021, la alcaldía local de Chapinero terminó 36 actuaciones administrativas en primera instancia, lo que representa un resultado de 63,16% para el periodo. 
En el presente trimestre se pudo avanzar un porcentaje mayor  respecto de la meta del segundo trimestre del año 2021 por cuanto en el trimestre anterior por temas de fechas de contratación y  haber tenido durante el mes de marzo que atender un requerimiento de personería que obligó al equipo de descongestión a disponer de 2 semanas para atender este requerimiento. Además por temas de COVID parte del equipo fue afectado desde el 20 de marzo al 12 de abril del presente año, lo que dificulto el cumplimiento de metas. 
</t>
  </si>
  <si>
    <t>Acta de asistencia e informe del operativo 
Registros operativos Alcaldía Local 
Reporte de seguimiento presentado por la Dirección para la Gestión Policiva</t>
  </si>
  <si>
    <t xml:space="preserve">En el presente trimestre se pudo avanzar en un porcentaje del 100% con 63 actuaciones archivadas respecto de la meta de 57 actuaciones programadas 
 </t>
  </si>
  <si>
    <t>Acta de asistencia e informe del operativo 
Registros operativos Alcaldía Local</t>
  </si>
  <si>
    <r>
      <t xml:space="preserve">15. Realizar </t>
    </r>
    <r>
      <rPr>
        <b/>
        <sz val="11"/>
        <color indexed="8"/>
        <rFont val="Calibri Light"/>
        <family val="2"/>
      </rPr>
      <t>112</t>
    </r>
    <r>
      <rPr>
        <sz val="11"/>
        <color indexed="8"/>
        <rFont val="Calibri Light"/>
        <family val="2"/>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</si>
  <si>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</si>
  <si>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</si>
  <si>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</si>
  <si>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</si>
  <si>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</si>
  <si>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Durante I trimestre se realizaron 102 acciones de control u operativos en Espacio Público. Anexamos matriz en Excel relacionando cada uno, junto con las respectivas actas.</t>
  </si>
  <si>
    <t xml:space="preserve">Durante II trimestre se realizaron 146 acciones de control u operativos en Espacio Público. Se realizaron 39 operativos interinstitucionales y 107 visitas de inspección, vigilancia y control.  </t>
  </si>
  <si>
    <t>GET-IVC-F037 Formato técnico de visita y/o verificación - espacio público. 
Acta de asistencia e informe del operativo 
Registros operativos Alcaldía Local</t>
  </si>
  <si>
    <t xml:space="preserve">Para el III trimestre se realizaron 32 operativos de 30 programados en materia de espacio público </t>
  </si>
  <si>
    <t xml:space="preserve">GET-IVC-F037 Formato técnico de visita y/o verificación - espacio público. 
Acta de asistencia e informe del operativo 
Registros operativos Alcaldía Local </t>
  </si>
  <si>
    <r>
      <t xml:space="preserve">16. Realizar </t>
    </r>
    <r>
      <rPr>
        <b/>
        <sz val="11"/>
        <color indexed="8"/>
        <rFont val="Calibri Light"/>
        <family val="2"/>
      </rPr>
      <t>130</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</si>
  <si>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</si>
  <si>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</si>
  <si>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Durante el primer trimestre se realizaron 71 acciones de control u operativos de Actividad Económica, anexamos matriz Excel relacionando cada uno junto con las respectivas actas.</t>
  </si>
  <si>
    <t xml:space="preserve">Durante el II trimestre se realizaron 105 acciones de control u operativos de Actividad Económica. Se realizaron 33 operativos interinstitucionales y 72 visitas de Inspección, Vigilancia y Control  
 </t>
  </si>
  <si>
    <t xml:space="preserve">GET-IVC-F035 Acta de visita 
GDI-GPD-F029 Evidencia de reunión  
Acta de asistencia e informe del operativo 
Registros operativos Alcaldía Local </t>
  </si>
  <si>
    <t xml:space="preserve">Para el III trimestre se realizaron 47 operativos de 36 programados en materia de actividad económica </t>
  </si>
  <si>
    <t>GET-IVC-F035 Acta de visita 
GDI-GPD-F029 Evidencia de reunión  
Acta de asistencia e informe del operativo 
Registros operativos Alcaldía Local</t>
  </si>
  <si>
    <r>
      <t xml:space="preserve">17. Realizar </t>
    </r>
    <r>
      <rPr>
        <b/>
        <sz val="11"/>
        <color indexed="8"/>
        <rFont val="Calibri Light"/>
        <family val="2"/>
      </rPr>
      <t>36</t>
    </r>
    <r>
      <rPr>
        <sz val="11"/>
        <color indexed="8"/>
        <rFont val="Calibri Light"/>
        <family val="2"/>
      </rPr>
      <t xml:space="preserve"> operativos de inspección, vigilancia y control en materia de obras y urbanismo </t>
    </r>
  </si>
  <si>
    <t>Acciones de control u operativos en materia de obras y urbanismo realizadas</t>
  </si>
  <si>
    <t>Número de Acciones de control u operativos en materia de obras y urbanismo realizadas</t>
  </si>
  <si>
    <t>Durante I trimestre se realizaron 60 acciones de control. Se anexa como soporte archivo Excel y relacionando cada uno y Actas.</t>
  </si>
  <si>
    <t xml:space="preserve">Durante II trimestre se realizaron 86 acciones de control.  Se realizaron 5 operativos interinstitucionales y 81 visitas de Inspección, vigilancia y control. 
Nota: Se informó por parte de la Dirección de Gestión Policiva de la necesidad de replantear meta con oficina Asesora de Planeación </t>
  </si>
  <si>
    <t xml:space="preserve"> GET-IVC-F034 Formato técnico de visita y/o verificación- control urbanístico 
GDI-GPD-F029 Evidencia de reunión  
Acta de asistencia e informe del operativo 
Registros operativos Alcaldía Local </t>
  </si>
  <si>
    <t xml:space="preserve">Para el III trimestre se realizaron 16 operativos de 10 programados en materia de obras y urbanismo </t>
  </si>
  <si>
    <t>GET-IVC-F034 Formato técnico de visita y/o verificación- control urbanístico 
GDI-GPD-F029 Evidencia de reunión  
Acta de asistencia e informe del operativo 
Registros operativos Alcaldía Local</t>
  </si>
  <si>
    <r>
      <t xml:space="preserve">18. Realizar </t>
    </r>
    <r>
      <rPr>
        <b/>
        <sz val="11"/>
        <color indexed="8"/>
        <rFont val="Calibri Light"/>
        <family val="2"/>
      </rPr>
      <t>44</t>
    </r>
    <r>
      <rPr>
        <sz val="11"/>
        <color indexed="8"/>
        <rFont val="Calibri Light"/>
        <family val="2"/>
      </rPr>
      <t xml:space="preserve"> operativos de inspección, vigilancia y control para dar cumplimiento a los fallos de cerros orientales.</t>
    </r>
  </si>
  <si>
    <t>Acciones de control u operativos para el cumplimiento de los fallos de cerros orientales realizadas</t>
  </si>
  <si>
    <t>Número de Acciones de control u operativos para el cumplimiento de los fallos de cerros orientales realizadas</t>
  </si>
  <si>
    <t xml:space="preserve">Durante I trimestre se realizaron 15 acciones de control u operativos en Cerros Orientales para lo cual anexamos Excel relacionando cada uno y las respectivas actas. </t>
  </si>
  <si>
    <t xml:space="preserve">Registros operativos Alcaldía Local (actas y excel)
</t>
  </si>
  <si>
    <t xml:space="preserve">Durante II trimestre se realizaron 12 acciones de control u operativos en Cerros Orientales. 12 OPERATIVOS INTERINSTITUCIONALES. </t>
  </si>
  <si>
    <t xml:space="preserve"> Formato 
GDI-GPD-F029 Evidencia de reunión  
Acta de asistencia e informe del operativo 
Registros operativos Alcaldía Local </t>
  </si>
  <si>
    <t xml:space="preserve">Para el III trimestre se realizaron 14 operativos de 12 programados en materia del cumplimiento a los fallos de cerros orientales  </t>
  </si>
  <si>
    <t xml:space="preserve"> Formato 
GDI-GPD-F029 Evidencia de reunión  
Acta de asistencia e informe del operativo 
Registros operativos Alcaldía Local</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</si>
  <si>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</si>
  <si>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</si>
  <si>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</si>
  <si>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</si>
  <si>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</si>
  <si>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</si>
  <si>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</si>
  <si>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</si>
  <si>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</si>
  <si>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</si>
  <si>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</si>
  <si>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</si>
  <si>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</si>
  <si>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 xml:space="preserve">Implementación del Sistema de Gestión Ambiental en un porcentaje de 63%, resultados obtenidos de la inspección ambiental realizada el 13 de mayo de 2021, empleando el formato: PLE-PIN-F012 Formato inspecciones ambientales para verificación de implementación del plan institucional de gestión ambiental.
Para el segundo semestre del 2021 se obtuvo esta puntuación en la inspección ambiental realizada por la OAP, debido a que se está articulando entre el Plan Institucional de Gestión Ambiental y el Sistema de Gestión Ambiental, pasando de un 34% en el 2020 a un 63% en el 2021. </t>
  </si>
  <si>
    <t xml:space="preserve">Listas de chequeo al cumplimiento de criterios ambientales remitidos por la OAP 
Resultados de medición de los criterios ambientales </t>
  </si>
  <si>
    <t>META NO PROGRAMADA PARA ESTE TRIMESTRE</t>
  </si>
  <si>
    <t>MT 2. Mantener el 100% de las acciones de mejora asignadas al proceso/Alcaldía con relación a planes de mejoramiento interno documentadas y vigentes</t>
  </si>
  <si>
    <t>Acciones correctivas documentadas y vigentes</t>
  </si>
  <si>
    <t>1 -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</si>
  <si>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</si>
  <si>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</si>
  <si>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</si>
  <si>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</si>
  <si>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</si>
  <si>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La localidad tiene 38 acciones de las cuales 19 presentan vencimiento.</t>
  </si>
  <si>
    <t>Reporte MIMEC</t>
  </si>
  <si>
    <t>La localidad tiene 14 acciones de las cuales 7 presentan vencimiento. El porcentaje que muestra el avance en el cierre o cumplimiento de acciones vencidas frente a las acciones asignadas en aplicativo MIMEC para los planes de mejora en ejecución.</t>
  </si>
  <si>
    <t xml:space="preserve">Reportes MIMEC - SIG remitido por la OAP </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</si>
  <si>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</si>
  <si>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</si>
  <si>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</si>
  <si>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</si>
  <si>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</si>
  <si>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</si>
  <si>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</si>
  <si>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</si>
  <si>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</si>
  <si>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La Alcaldía Local Chapinero ha cumplido con 110 de los 115 requisitos de publicación de información en su página web, de acuerdo con lo previsto en la Ley 1712 de 2014, según lo informado por la Oficina Asesora de Comunicaciones de la SDG mediante memorando No. 20211400241773, lo que representa un avance del 95,65% para el II Trimestre de 2021.
Durante el segundo trimestre se realizó la actualización de la página web y sus diferentes secciones. La actualización de la misma se realizó tanto con la creación de contenidos de valor como comunicados de prensa como los documentos que fueron remitidos por los diferentes líderes de la Alcaldía para cumplir con el objetivo de mantener a la comunidad actualizada en las acciones realizadas y también cumplir con los estándares de transparencia.</t>
  </si>
  <si>
    <t>Página web de la alcaldía local con la información actualizada al 96% 
10.7 Registro de Publicación Chapinero 
http://www.chapinero.gov.co/tabla_archivos/107-registro-publicacion-chapinero</t>
  </si>
  <si>
    <t>100% de cumplimiento de un total de 115 criterios evaluados en la matriz de cumplimiento de ley 1712 la cual se reporta trimestralmente y se publica en el sitio web</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</si>
  <si>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</si>
  <si>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</si>
  <si>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</si>
  <si>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</si>
  <si>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</si>
  <si>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</si>
  <si>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 xml:space="preserve">La alcaldía local participó en la capacitación sobre innovación y gestión del conocimiento brindada por la Oficina Asesora de Planeación, así como otras reuniones y capacitaciones dictadas por la DGTH y la OAP. </t>
  </si>
  <si>
    <t xml:space="preserve">Listado de asistencia 
Video de la reunión 
Presentación </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</si>
  <si>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</si>
  <si>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</si>
  <si>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</si>
  <si>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</si>
  <si>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</si>
  <si>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</si>
  <si>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</si>
  <si>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ciudadania</t>
  </si>
  <si>
    <t xml:space="preserve">Reporte Aplicativo CRONOS </t>
  </si>
  <si>
    <t>Responsable del Reporte: Subsecretaria de Gestión Institicional - Grupo Oficina de atención a la Ciudadanía</t>
  </si>
  <si>
    <t>La localidad ha atendido 7.279 requerimientos ciudadanos de los 7.474 recibidos de 2016 a 2020, que equivalen al 97,39%</t>
  </si>
  <si>
    <t xml:space="preserve">La Localidad de Chapinero ha atendido 7346 requerimientos ciudadanos, de los 7474 recibidos, lo que representa un 98,3% de gestión frente a la meta prevista. </t>
  </si>
  <si>
    <t>Reporte de atención de requerimientos ciudadanos Subsecretaría de Gestión Institucional
Reporte Aplicativo CRONOS</t>
  </si>
  <si>
    <t>Total metas transversales (20%)</t>
  </si>
  <si>
    <t xml:space="preserve">Total plan de gestión </t>
  </si>
  <si>
    <t xml:space="preserve">El avance de la meta corresponde a la información que reporta oficialmente la Dirección de Planes de Desarrollo y Fortalecimiento Local de la Secretaria Distrital de Planeación, a través de la Matriz Unificada de Seguimiento a la Inversión MUSI, disponible en la página web de la SDP. Los datos corresponden al corte del segundo trimestre (junio 30 del 2021). </t>
  </si>
  <si>
    <t xml:space="preserve">El avance de la meta corresponde a la información que reporta oficialmente la Dirección de Planes de Desarrollo y Fortalecimiento Local de la Secretaria Distrital de Planeación, a través de la Matriz Unificada de Seguimiento a la Inversión MUSI, disponible en la página web de la SDP. Los datos corresponden al corte del segundo trimestre (junio 30 del 2021). 
Nota: se ajusta la programación de la meta para el III Trimestre de 2021, dado que la información disponible corresponde al II Trimestre. </t>
  </si>
  <si>
    <t>No programada para el III trimestre de 2021.</t>
  </si>
  <si>
    <t>No programada para el III Trimestre de 2021.</t>
  </si>
  <si>
    <t xml:space="preserve">Se logró la ejecución de 16 propuestas de las 37 propuestas ganadoras de presupuestos participativos (Fase II).
El equipo de planeación de la Alcaldía Local en cabeza de su economista mediante la herramienta de Power BI "Balance General Proyectos de Inversión y PP vig.2021”, del seguimiento a los 13 proyectos que contienen iniciativas ganadoras de presupuestos participativos, de las 37 iniciativas 27 se encuentran con los recursos comprometidos de acuerdo con lo establecido en la meta cumpliendo así un 73% del 80% programado para el trimestre.
</t>
  </si>
  <si>
    <t>Se logró la ejecución de 16 propuestas de las 37 propuestas ganadoras de presupuestos participativos (Fase II).</t>
  </si>
  <si>
    <t xml:space="preserve">La Alcaldía Local de Chapinero realizó el giro de $6.159.627.337 de los $10.374.977.445 constituidos como obligaciones por pagar de la vigencia 2020. </t>
  </si>
  <si>
    <t>Reporte DGDL</t>
  </si>
  <si>
    <t xml:space="preserve">La Alcaldía Local de Chapinero realizó el giro de $6.928.573.912 de los $11.971.234.952 constituidos como obligaciones por pagar de la vigencia 2019 y anteriores. </t>
  </si>
  <si>
    <t xml:space="preserve">Se comprometieron $9.601.985.669 de los $16.811.914.000 establecidos como presupuesto de inversión directa de la vigencia 2021. 
Se comprometieron gran parte de los proyectos y se trabajó en la ejecución sin alcanzar la meta propuesta </t>
  </si>
  <si>
    <t xml:space="preserve">Se comprometieron $9.601.985.669 de los $16.811.914.000 establecidos como presupuesto de inversión directa de la vigencia 2021. </t>
  </si>
  <si>
    <t xml:space="preserve">Se giraron $6.202.512.821 de los $16.811.914.000 establecidos como presupuesto disponible de inversión directa de la vigencia. 
Se han realizado los giros de los convenios y contratos comprometidos durante la vigencia dando cumplimiento a la meta propuesta. </t>
  </si>
  <si>
    <t xml:space="preserve">Se giraron $6.202.512.821 de los $16.811.914.000 establecidos como presupuesto disponible de inversión directa de la vigencia. </t>
  </si>
  <si>
    <t>Se registraron 184 contratos en el sistema SIPSE Local, de los 194 contratos publicados en la plataforma SECOP I y II de la vigencia.</t>
  </si>
  <si>
    <t xml:space="preserve">Se registraron 184 contratos en el sistema SIPSE Local, de los 194 contratos publicados en la plataforma SECOP I y II de la vigencia.
Se anexan las bases de datos de SECOP y SIPSE, registrados en SECOP 200 contratos y SIPSE 188. 
 </t>
  </si>
  <si>
    <t xml:space="preserve">Reporte DGDL
Reporte seguimiento mensual consolidado 
Reporte SIPSE LOCAL y Reporte SECOP 
Tablero de Indicadores de Seguimiento Área de Planeación Local
</t>
  </si>
  <si>
    <t xml:space="preserve">Se presenta un avance acumulado del 53% frente al registro y actualización de la información en SIPSE Local. </t>
  </si>
  <si>
    <t xml:space="preserve">La alcaldía local de Chapinero impulsó procesalmente 5.813 expedientes a cargo de las inspecciones de policía, lo que representa un resultado acumulado del 75,69% frente a la magnitud anual. </t>
  </si>
  <si>
    <t xml:space="preserve">La alcaldía local de Chapinero profirió 3.812 fallos en primera instancia sobre los expedientes a cargo de las inspecciones de policía, lo que representa un resultado acumulado del 99,27% frente a la magnitud anual. </t>
  </si>
  <si>
    <t xml:space="preserve">La localidad de Chapinero ha terminado 95 actuaciones administrativas. </t>
  </si>
  <si>
    <t>Se han atendido 103 actuaciones administrativas en primera instancia, lo que representa un avance acumulado de la meta del 55,38%.</t>
  </si>
  <si>
    <t>Se han realizado 280 operativos de inspección, vigilancia y control en materia de integridad del espacio público</t>
  </si>
  <si>
    <t>Se han realizado 223 operativos de inspección, vigilancia y control en materia de actividad económica</t>
  </si>
  <si>
    <t>Se han realizado 162 operativos de inspección, vigilancia y control en materia de obras y urbanismo.</t>
  </si>
  <si>
    <t xml:space="preserve">Se han realizado 41 operativos de inspección, vigilancia y control para dar cumplimiento a los fallos de cerros orientales. </t>
  </si>
  <si>
    <t xml:space="preserve">De las 32 acciones que tenía el FDLCH y de las cuales 11 presentan vencimiento, se dio el trámite respectivo generando él envió para cierre a la OCI de la SDG, quedando activos 2 planes de mejora, el 196 con una acción en ejecución no vencida y el 84 con 2 acciones en ejecución de las cuales 1 está vencida.  </t>
  </si>
  <si>
    <t>http://www.chapinero.gov.co/tabla_archivos/107-registro-publicacion-chapinero</t>
  </si>
  <si>
    <t>La localidad de Chapinero ha atendido 570 requerimientos ciudadanos, de los 637 recibidos, lo que representan un avance acumulado del 89,48% de gestión frente a la meta prevista.</t>
  </si>
  <si>
    <t>Reporte de requerimientos ciudadanos SGI</t>
  </si>
  <si>
    <t>Para el tercer trimestre de la vigencia 2021, el plan de gestión de la Alcaldía Local alcanzó un nivel de desempeño del 94,19% de acuerdo con lo programado, y del 65,19% acumulado para la vigencia.</t>
  </si>
  <si>
    <t>3 de noviembre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</si>
</sst>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18" x14ac:knownFonts="1">
    <font>
      <sz val="11"/>
      <color theme="1"/>
      <name val="Calibri"/>
      <family val="2"/>
      <scheme val="minor"/>
    </font>
    <font>
      <sz val="11"/>
      <color indexed="8"/>
      <name val="Calibri Light"/>
      <family val="2"/>
    </font>
    <font>
      <b/>
      <sz val="11"/>
      <color indexed="8"/>
      <name val="Calibri Light"/>
      <family val="2"/>
    </font>
    <font>
      <b/>
      <u/>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
      <b/>
      <sz val="11"/>
      <name val="Calibri Light"/>
      <family val="2"/>
    </font>
    <font>
      <sz val="11"/>
      <name val="Calibri Light"/>
      <family val="2"/>
    </font>
    <font>
      <b/>
      <sz val="11"/>
      <color rgb="FF0070C0"/>
      <name val="Calibri Light"/>
      <family val="2"/>
      <scheme val="major"/>
    </font>
    <font>
      <sz val="11"/>
      <color rgb="FF0070C0"/>
      <name val="Calibri"/>
      <family val="2"/>
      <scheme val="minor"/>
    </font>
  </fonts>
  <fills count="12">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1" fontId="4" fillId="0" borderId="0" applyFont="0" applyFill="0" applyBorder="0" applyAlignment="0" applyProtection="0"/>
    <xf numFmtId="9" fontId="4" fillId="0" borderId="0" applyFont="0" applyFill="0" applyBorder="0" applyAlignment="0" applyProtection="0"/>
  </cellStyleXfs>
  <cellXfs count="143">
    <xf numFmtId="0" fontId="0" fillId="0" borderId="0" xfId="0"/>
    <xf numFmtId="0" fontId="5" fillId="0" borderId="0" xfId="0" applyFont="1" applyAlignment="1" applyProtection="1">
      <alignment wrapText="1"/>
      <protection hidden="1"/>
    </xf>
    <xf numFmtId="0" fontId="5" fillId="0" borderId="0" xfId="0" applyFont="1" applyAlignment="1" applyProtection="1">
      <alignment vertical="center" wrapText="1"/>
      <protection hidden="1"/>
    </xf>
    <xf numFmtId="0" fontId="6" fillId="2" borderId="1" xfId="0" applyFont="1" applyFill="1" applyBorder="1" applyAlignment="1" applyProtection="1">
      <alignment wrapText="1"/>
      <protection hidden="1"/>
    </xf>
    <xf numFmtId="10" fontId="5" fillId="0" borderId="1" xfId="2" applyNumberFormat="1" applyFont="1" applyBorder="1" applyAlignment="1" applyProtection="1">
      <alignment horizontal="right" vertical="top" wrapText="1"/>
      <protection hidden="1"/>
    </xf>
    <xf numFmtId="10" fontId="5" fillId="0" borderId="1" xfId="0" applyNumberFormat="1" applyFont="1" applyBorder="1" applyAlignment="1" applyProtection="1">
      <alignment horizontal="left" vertical="top" wrapText="1"/>
      <protection hidden="1"/>
    </xf>
    <xf numFmtId="9" fontId="5" fillId="0" borderId="1" xfId="0" applyNumberFormat="1" applyFont="1" applyBorder="1" applyAlignment="1" applyProtection="1">
      <alignment horizontal="left" vertical="top" wrapText="1"/>
      <protection hidden="1"/>
    </xf>
    <xf numFmtId="9" fontId="5" fillId="0" borderId="1" xfId="2" applyFont="1" applyBorder="1" applyAlignment="1" applyProtection="1">
      <alignment horizontal="left" vertical="top" wrapText="1"/>
      <protection hidden="1"/>
    </xf>
    <xf numFmtId="0" fontId="7" fillId="0" borderId="1" xfId="0" applyFont="1" applyBorder="1" applyAlignment="1" applyProtection="1">
      <alignment horizontal="left" vertical="top" wrapText="1"/>
      <protection hidden="1"/>
    </xf>
    <xf numFmtId="41" fontId="5" fillId="0" borderId="1" xfId="1" applyFont="1" applyBorder="1" applyAlignment="1" applyProtection="1">
      <alignment horizontal="left" vertical="top" wrapText="1"/>
      <protection hidden="1"/>
    </xf>
    <xf numFmtId="41" fontId="5" fillId="0" borderId="1" xfId="0" applyNumberFormat="1" applyFont="1" applyBorder="1" applyAlignment="1" applyProtection="1">
      <alignment horizontal="left" vertical="top" wrapText="1"/>
      <protection hidden="1"/>
    </xf>
    <xf numFmtId="0" fontId="5" fillId="0" borderId="1" xfId="0" applyFont="1" applyBorder="1" applyAlignment="1" applyProtection="1">
      <alignment horizontal="right" vertical="top" wrapText="1"/>
      <protection hidden="1"/>
    </xf>
    <xf numFmtId="0" fontId="8" fillId="2" borderId="1" xfId="0" applyFont="1" applyFill="1" applyBorder="1" applyAlignment="1" applyProtection="1">
      <alignment wrapText="1"/>
      <protection hidden="1"/>
    </xf>
    <xf numFmtId="0" fontId="9" fillId="2" borderId="1" xfId="0" applyFont="1" applyFill="1" applyBorder="1" applyProtection="1">
      <protection hidden="1"/>
    </xf>
    <xf numFmtId="9" fontId="9" fillId="2" borderId="1" xfId="2" applyFont="1" applyFill="1" applyBorder="1" applyAlignment="1" applyProtection="1">
      <alignment wrapText="1"/>
      <protection hidden="1"/>
    </xf>
    <xf numFmtId="0" fontId="10" fillId="0" borderId="1" xfId="0" applyFont="1" applyBorder="1" applyAlignment="1" applyProtection="1">
      <alignment horizontal="left" vertical="top" wrapText="1"/>
      <protection hidden="1"/>
    </xf>
    <xf numFmtId="9" fontId="10" fillId="0" borderId="1" xfId="0" applyNumberFormat="1" applyFont="1" applyBorder="1" applyAlignment="1" applyProtection="1">
      <alignment horizontal="left" vertical="top" wrapText="1"/>
      <protection hidden="1"/>
    </xf>
    <xf numFmtId="0" fontId="10" fillId="3" borderId="1" xfId="0" applyFont="1" applyFill="1" applyBorder="1" applyAlignment="1" applyProtection="1">
      <alignment horizontal="left" vertical="top" wrapText="1"/>
      <protection hidden="1"/>
    </xf>
    <xf numFmtId="9" fontId="10" fillId="3" borderId="1" xfId="0" applyNumberFormat="1" applyFont="1" applyFill="1" applyBorder="1" applyAlignment="1" applyProtection="1">
      <alignment horizontal="right" vertical="top" wrapText="1"/>
      <protection hidden="1"/>
    </xf>
    <xf numFmtId="9" fontId="10" fillId="3" borderId="1" xfId="2" applyFont="1" applyFill="1" applyBorder="1" applyAlignment="1" applyProtection="1">
      <alignment horizontal="right" vertical="top" wrapText="1"/>
      <protection hidden="1"/>
    </xf>
    <xf numFmtId="0" fontId="11" fillId="2" borderId="1" xfId="0" applyFont="1" applyFill="1" applyBorder="1" applyAlignment="1" applyProtection="1">
      <alignment wrapText="1"/>
      <protection hidden="1"/>
    </xf>
    <xf numFmtId="9" fontId="11" fillId="2" borderId="1" xfId="2" applyFont="1" applyFill="1" applyBorder="1" applyAlignment="1" applyProtection="1">
      <alignment wrapText="1"/>
      <protection hidden="1"/>
    </xf>
    <xf numFmtId="9" fontId="11" fillId="2" borderId="1" xfId="0" applyNumberFormat="1" applyFont="1" applyFill="1" applyBorder="1" applyAlignment="1" applyProtection="1">
      <alignment wrapText="1"/>
      <protection hidden="1"/>
    </xf>
    <xf numFmtId="0" fontId="12" fillId="4" borderId="1" xfId="0" applyFont="1" applyFill="1" applyBorder="1" applyAlignment="1" applyProtection="1">
      <alignment wrapText="1"/>
      <protection hidden="1"/>
    </xf>
    <xf numFmtId="0" fontId="13" fillId="4" borderId="1" xfId="0" applyFont="1" applyFill="1" applyBorder="1" applyAlignment="1" applyProtection="1">
      <alignment wrapText="1"/>
      <protection hidden="1"/>
    </xf>
    <xf numFmtId="9" fontId="13" fillId="4" borderId="1" xfId="2" applyFont="1" applyFill="1" applyBorder="1" applyAlignment="1" applyProtection="1">
      <alignment wrapText="1"/>
      <protection hidden="1"/>
    </xf>
    <xf numFmtId="9" fontId="12" fillId="4" borderId="1" xfId="2" applyFont="1" applyFill="1" applyBorder="1" applyAlignment="1" applyProtection="1">
      <alignment wrapText="1"/>
      <protection hidden="1"/>
    </xf>
    <xf numFmtId="9" fontId="5" fillId="0" borderId="1" xfId="0" applyNumberFormat="1" applyFont="1" applyBorder="1" applyAlignment="1" applyProtection="1">
      <alignment horizontal="right" vertical="top" wrapText="1"/>
      <protection hidden="1"/>
    </xf>
    <xf numFmtId="0" fontId="8" fillId="0" borderId="0" xfId="0" applyFont="1" applyAlignment="1" applyProtection="1">
      <alignment wrapText="1"/>
      <protection hidden="1"/>
    </xf>
    <xf numFmtId="0" fontId="12" fillId="0" borderId="0" xfId="0" applyFont="1" applyAlignment="1" applyProtection="1">
      <alignment wrapText="1"/>
      <protection hidden="1"/>
    </xf>
    <xf numFmtId="0" fontId="6" fillId="5" borderId="1" xfId="0" applyFont="1" applyFill="1" applyBorder="1" applyAlignment="1" applyProtection="1">
      <alignment horizontal="center" vertical="center" wrapText="1"/>
      <protection hidden="1"/>
    </xf>
    <xf numFmtId="0" fontId="5" fillId="0" borderId="0" xfId="0" applyFont="1" applyAlignment="1" applyProtection="1">
      <alignment horizontal="left" vertical="top" wrapText="1"/>
      <protection hidden="1"/>
    </xf>
    <xf numFmtId="41" fontId="5" fillId="0" borderId="1" xfId="1" applyFont="1" applyBorder="1" applyAlignment="1" applyProtection="1">
      <alignment vertical="top" wrapText="1"/>
      <protection hidden="1"/>
    </xf>
    <xf numFmtId="0" fontId="5" fillId="0" borderId="0" xfId="0" applyFont="1" applyAlignment="1" applyProtection="1">
      <alignment horizontal="center" vertical="top" wrapText="1"/>
      <protection hidden="1"/>
    </xf>
    <xf numFmtId="9" fontId="5" fillId="0" borderId="1" xfId="0" applyNumberFormat="1" applyFont="1" applyBorder="1" applyAlignment="1" applyProtection="1">
      <alignment horizontal="center" vertical="top" wrapText="1"/>
      <protection hidden="1"/>
    </xf>
    <xf numFmtId="41" fontId="5" fillId="0" borderId="1" xfId="1" applyFont="1" applyBorder="1" applyAlignment="1" applyProtection="1">
      <alignment horizontal="center" vertical="top" wrapText="1"/>
      <protection hidden="1"/>
    </xf>
    <xf numFmtId="9" fontId="10" fillId="0" borderId="1" xfId="2" applyFont="1" applyBorder="1" applyAlignment="1" applyProtection="1">
      <alignment horizontal="center" vertical="top" wrapText="1"/>
      <protection hidden="1"/>
    </xf>
    <xf numFmtId="0" fontId="5" fillId="0" borderId="0" xfId="0" applyFont="1" applyAlignment="1" applyProtection="1">
      <alignment horizontal="justify" vertical="top" wrapText="1"/>
      <protection hidden="1"/>
    </xf>
    <xf numFmtId="9" fontId="5" fillId="0" borderId="1" xfId="0" applyNumberFormat="1" applyFont="1" applyBorder="1" applyAlignment="1" applyProtection="1">
      <alignment horizontal="justify" vertical="top" wrapText="1"/>
      <protection hidden="1"/>
    </xf>
    <xf numFmtId="0" fontId="5" fillId="0" borderId="0" xfId="0" applyFont="1" applyAlignment="1" applyProtection="1">
      <alignment horizontal="center" wrapText="1"/>
      <protection hidden="1"/>
    </xf>
    <xf numFmtId="0" fontId="5" fillId="0" borderId="0" xfId="0" applyFont="1" applyAlignment="1" applyProtection="1">
      <alignment horizontal="center" vertical="center" wrapText="1"/>
      <protection hidden="1"/>
    </xf>
    <xf numFmtId="0" fontId="5" fillId="0" borderId="1" xfId="0" applyFont="1" applyBorder="1" applyAlignment="1" applyProtection="1">
      <alignment horizontal="center" vertical="top" wrapText="1"/>
      <protection hidden="1"/>
    </xf>
    <xf numFmtId="9" fontId="10" fillId="0" borderId="1" xfId="0" applyNumberFormat="1" applyFont="1" applyBorder="1" applyAlignment="1" applyProtection="1">
      <alignment horizontal="center" vertical="top" wrapText="1"/>
      <protection hidden="1"/>
    </xf>
    <xf numFmtId="10" fontId="5" fillId="0" borderId="1" xfId="0" applyNumberFormat="1" applyFont="1" applyBorder="1" applyAlignment="1" applyProtection="1">
      <alignment horizontal="center" vertical="top" wrapText="1"/>
      <protection hidden="1"/>
    </xf>
    <xf numFmtId="10" fontId="10" fillId="0" borderId="1" xfId="0" applyNumberFormat="1" applyFont="1" applyBorder="1" applyAlignment="1" applyProtection="1">
      <alignment horizontal="center" vertical="top" wrapText="1"/>
      <protection hidden="1"/>
    </xf>
    <xf numFmtId="0" fontId="10" fillId="0" borderId="1" xfId="0" applyFont="1" applyBorder="1" applyAlignment="1" applyProtection="1">
      <alignment horizontal="center" vertical="top" wrapText="1"/>
      <protection hidden="1"/>
    </xf>
    <xf numFmtId="10" fontId="5" fillId="0" borderId="1" xfId="0" applyNumberFormat="1" applyFont="1" applyBorder="1" applyAlignment="1" applyProtection="1">
      <alignment horizontal="right" vertical="top" wrapText="1"/>
      <protection hidden="1"/>
    </xf>
    <xf numFmtId="164" fontId="5" fillId="0" borderId="1" xfId="0" applyNumberFormat="1" applyFont="1" applyBorder="1" applyAlignment="1" applyProtection="1">
      <alignment horizontal="center" vertical="top" wrapText="1"/>
      <protection hidden="1"/>
    </xf>
    <xf numFmtId="10" fontId="10" fillId="0" borderId="1" xfId="2" applyNumberFormat="1" applyFont="1" applyBorder="1" applyAlignment="1" applyProtection="1">
      <alignment horizontal="center" vertical="top" wrapText="1"/>
      <protection hidden="1"/>
    </xf>
    <xf numFmtId="0" fontId="10" fillId="0" borderId="1" xfId="0" applyFont="1" applyBorder="1" applyAlignment="1" applyProtection="1">
      <alignment horizontal="justify" vertical="top" wrapText="1"/>
      <protection hidden="1"/>
    </xf>
    <xf numFmtId="0" fontId="6" fillId="2"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9"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10" fontId="7" fillId="0" borderId="1" xfId="2" applyNumberFormat="1" applyFont="1" applyBorder="1" applyAlignment="1" applyProtection="1">
      <alignment horizontal="right" vertical="top" wrapText="1"/>
      <protection hidden="1"/>
    </xf>
    <xf numFmtId="9" fontId="7" fillId="0" borderId="1" xfId="0" applyNumberFormat="1" applyFont="1" applyBorder="1" applyAlignment="1" applyProtection="1">
      <alignment horizontal="left" vertical="top" wrapText="1"/>
      <protection hidden="1"/>
    </xf>
    <xf numFmtId="9" fontId="7" fillId="0" borderId="1" xfId="0" applyNumberFormat="1" applyFont="1" applyBorder="1" applyAlignment="1" applyProtection="1">
      <alignment horizontal="center" vertical="top" wrapText="1"/>
      <protection hidden="1"/>
    </xf>
    <xf numFmtId="9" fontId="7" fillId="0" borderId="1" xfId="0" applyNumberFormat="1" applyFont="1" applyBorder="1" applyAlignment="1" applyProtection="1">
      <alignment horizontal="right" vertical="top" wrapText="1"/>
      <protection hidden="1"/>
    </xf>
    <xf numFmtId="0" fontId="7" fillId="0" borderId="0" xfId="0" applyFont="1" applyAlignment="1" applyProtection="1">
      <alignment horizontal="left" vertical="top" wrapText="1"/>
      <protection hidden="1"/>
    </xf>
    <xf numFmtId="9" fontId="6" fillId="2" borderId="1" xfId="2" applyFont="1" applyFill="1" applyBorder="1" applyAlignment="1" applyProtection="1">
      <alignment horizontal="center" vertical="top" wrapText="1"/>
      <protection hidden="1"/>
    </xf>
    <xf numFmtId="0" fontId="5" fillId="2" borderId="1" xfId="0" applyFont="1" applyFill="1" applyBorder="1" applyAlignment="1" applyProtection="1">
      <alignment horizontal="justify" vertical="top" wrapText="1"/>
      <protection hidden="1"/>
    </xf>
    <xf numFmtId="9" fontId="6" fillId="2" borderId="1" xfId="2" applyFont="1" applyFill="1" applyBorder="1" applyAlignment="1" applyProtection="1">
      <alignment wrapText="1"/>
      <protection hidden="1"/>
    </xf>
    <xf numFmtId="0" fontId="5" fillId="2" borderId="1" xfId="0" applyFont="1" applyFill="1" applyBorder="1" applyAlignment="1" applyProtection="1">
      <alignment wrapText="1"/>
      <protection hidden="1"/>
    </xf>
    <xf numFmtId="9" fontId="6" fillId="2" borderId="1" xfId="2" applyFont="1" applyFill="1" applyBorder="1" applyAlignment="1" applyProtection="1">
      <alignment horizontal="right" wrapText="1"/>
      <protection hidden="1"/>
    </xf>
    <xf numFmtId="9" fontId="6" fillId="2" borderId="1" xfId="2" applyFont="1" applyFill="1" applyBorder="1" applyAlignment="1" applyProtection="1">
      <alignment horizontal="center" wrapText="1"/>
      <protection hidden="1"/>
    </xf>
    <xf numFmtId="9" fontId="16" fillId="2" borderId="1" xfId="0" applyNumberFormat="1" applyFont="1" applyFill="1" applyBorder="1" applyAlignment="1" applyProtection="1">
      <alignment horizontal="center" vertical="top" wrapText="1"/>
      <protection hidden="1"/>
    </xf>
    <xf numFmtId="9" fontId="6" fillId="2" borderId="1" xfId="0" applyNumberFormat="1" applyFont="1" applyFill="1" applyBorder="1" applyAlignment="1" applyProtection="1">
      <alignment horizontal="center" vertical="top" wrapText="1"/>
      <protection hidden="1"/>
    </xf>
    <xf numFmtId="9" fontId="16" fillId="2" borderId="1" xfId="0" applyNumberFormat="1" applyFont="1" applyFill="1" applyBorder="1" applyAlignment="1" applyProtection="1">
      <alignment wrapText="1"/>
      <protection hidden="1"/>
    </xf>
    <xf numFmtId="9" fontId="16" fillId="2" borderId="1" xfId="0" applyNumberFormat="1" applyFont="1" applyFill="1" applyBorder="1" applyAlignment="1" applyProtection="1">
      <alignment horizontal="center" wrapText="1"/>
      <protection hidden="1"/>
    </xf>
    <xf numFmtId="9" fontId="5" fillId="4" borderId="1" xfId="2" applyFont="1" applyFill="1" applyBorder="1" applyAlignment="1" applyProtection="1">
      <alignment horizontal="center" vertical="top" wrapText="1"/>
      <protection hidden="1"/>
    </xf>
    <xf numFmtId="9" fontId="6" fillId="4" borderId="1" xfId="0" applyNumberFormat="1" applyFont="1" applyFill="1" applyBorder="1" applyAlignment="1" applyProtection="1">
      <alignment horizontal="center" vertical="top" wrapText="1"/>
      <protection hidden="1"/>
    </xf>
    <xf numFmtId="0" fontId="5" fillId="4" borderId="1" xfId="0" applyFont="1" applyFill="1" applyBorder="1" applyAlignment="1" applyProtection="1">
      <alignment horizontal="justify" vertical="top" wrapText="1"/>
      <protection hidden="1"/>
    </xf>
    <xf numFmtId="9" fontId="5" fillId="4" borderId="1" xfId="2" applyFont="1" applyFill="1" applyBorder="1" applyAlignment="1" applyProtection="1">
      <alignment wrapText="1"/>
      <protection hidden="1"/>
    </xf>
    <xf numFmtId="0" fontId="5" fillId="0" borderId="0" xfId="0" applyFont="1" applyAlignment="1" applyProtection="1">
      <alignment horizontal="justify" wrapText="1"/>
      <protection hidden="1"/>
    </xf>
    <xf numFmtId="0" fontId="5" fillId="0" borderId="0" xfId="0" applyFont="1" applyAlignment="1" applyProtection="1">
      <alignment horizontal="justify" vertical="center" wrapText="1"/>
      <protection hidden="1"/>
    </xf>
    <xf numFmtId="0" fontId="5" fillId="0" borderId="1" xfId="0" applyFont="1" applyBorder="1" applyAlignment="1" applyProtection="1">
      <alignment horizontal="justify" vertical="top" wrapText="1"/>
      <protection hidden="1"/>
    </xf>
    <xf numFmtId="0" fontId="7" fillId="0" borderId="1" xfId="0" applyFont="1" applyBorder="1" applyAlignment="1" applyProtection="1">
      <alignment horizontal="justify" vertical="top" wrapText="1"/>
      <protection hidden="1"/>
    </xf>
    <xf numFmtId="0" fontId="5" fillId="2" borderId="1" xfId="0" applyFont="1" applyFill="1" applyBorder="1" applyAlignment="1" applyProtection="1">
      <alignment horizontal="justify" wrapText="1"/>
      <protection hidden="1"/>
    </xf>
    <xf numFmtId="0" fontId="5" fillId="4" borderId="1" xfId="0" applyFont="1" applyFill="1" applyBorder="1" applyAlignment="1" applyProtection="1">
      <alignment horizontal="justify" wrapText="1"/>
      <protection hidden="1"/>
    </xf>
    <xf numFmtId="0" fontId="6" fillId="9" borderId="1" xfId="0" applyFont="1" applyFill="1" applyBorder="1" applyAlignment="1" applyProtection="1">
      <alignment horizontal="justify" vertical="center" wrapText="1"/>
      <protection hidden="1"/>
    </xf>
    <xf numFmtId="9" fontId="10" fillId="0" borderId="1" xfId="2" applyFont="1" applyBorder="1" applyAlignment="1" applyProtection="1">
      <alignment horizontal="justify" vertical="top" wrapText="1"/>
      <protection hidden="1"/>
    </xf>
    <xf numFmtId="0" fontId="6" fillId="6" borderId="1" xfId="0" applyFont="1" applyFill="1" applyBorder="1" applyAlignment="1" applyProtection="1">
      <alignment horizontal="justify" vertical="center" wrapText="1"/>
      <protection hidden="1"/>
    </xf>
    <xf numFmtId="0" fontId="6" fillId="5" borderId="1" xfId="0" applyFont="1" applyFill="1" applyBorder="1" applyAlignment="1" applyProtection="1">
      <alignment horizontal="justify" vertical="center" wrapText="1"/>
      <protection hidden="1"/>
    </xf>
    <xf numFmtId="10" fontId="6" fillId="6" borderId="1" xfId="0" applyNumberFormat="1" applyFont="1" applyFill="1" applyBorder="1" applyAlignment="1" applyProtection="1">
      <alignment horizontal="center" vertical="center" wrapText="1"/>
      <protection hidden="1"/>
    </xf>
    <xf numFmtId="10" fontId="6" fillId="2" borderId="1" xfId="2" applyNumberFormat="1" applyFont="1" applyFill="1" applyBorder="1" applyAlignment="1" applyProtection="1">
      <alignment horizontal="center" vertical="top" wrapText="1"/>
      <protection hidden="1"/>
    </xf>
    <xf numFmtId="10" fontId="16" fillId="2" borderId="1" xfId="0" applyNumberFormat="1" applyFont="1" applyFill="1" applyBorder="1" applyAlignment="1" applyProtection="1">
      <alignment horizontal="center" vertical="top" wrapText="1"/>
      <protection hidden="1"/>
    </xf>
    <xf numFmtId="10" fontId="6" fillId="4" borderId="1" xfId="0" applyNumberFormat="1" applyFont="1" applyFill="1" applyBorder="1" applyAlignment="1" applyProtection="1">
      <alignment horizontal="center" vertical="top" wrapText="1"/>
      <protection hidden="1"/>
    </xf>
    <xf numFmtId="10" fontId="7" fillId="0" borderId="1" xfId="0" applyNumberFormat="1" applyFont="1" applyBorder="1" applyAlignment="1" applyProtection="1">
      <alignment horizontal="center" vertical="top" wrapText="1"/>
      <protection hidden="1"/>
    </xf>
    <xf numFmtId="10" fontId="5" fillId="0" borderId="1" xfId="2" applyNumberFormat="1" applyFont="1" applyBorder="1" applyAlignment="1" applyProtection="1">
      <alignment horizontal="right" vertical="top" wrapText="1"/>
    </xf>
    <xf numFmtId="10" fontId="5" fillId="0" borderId="1" xfId="2" applyNumberFormat="1" applyFont="1" applyBorder="1" applyAlignment="1" applyProtection="1">
      <alignment horizontal="center" vertical="top" wrapText="1"/>
    </xf>
    <xf numFmtId="0" fontId="5" fillId="0" borderId="1" xfId="0" applyFont="1" applyBorder="1" applyAlignment="1">
      <alignment horizontal="justify" vertical="top" wrapText="1"/>
    </xf>
    <xf numFmtId="9" fontId="5" fillId="0" borderId="1" xfId="2" applyFont="1" applyBorder="1" applyAlignment="1" applyProtection="1">
      <alignment horizontal="right" vertical="top" wrapText="1"/>
    </xf>
    <xf numFmtId="9" fontId="7" fillId="0" borderId="1" xfId="0" applyNumberFormat="1" applyFont="1" applyBorder="1" applyAlignment="1">
      <alignment horizontal="center" vertical="top" wrapText="1"/>
    </xf>
    <xf numFmtId="0" fontId="7" fillId="0" borderId="1" xfId="0" applyFont="1" applyBorder="1" applyAlignment="1">
      <alignment horizontal="justify" vertical="top" wrapText="1"/>
    </xf>
    <xf numFmtId="9" fontId="7" fillId="0" borderId="1" xfId="2" applyFont="1" applyBorder="1" applyAlignment="1" applyProtection="1">
      <alignment horizontal="right" vertical="top" wrapText="1"/>
    </xf>
    <xf numFmtId="10" fontId="7" fillId="0" borderId="1" xfId="2" applyNumberFormat="1" applyFont="1" applyBorder="1" applyAlignment="1" applyProtection="1">
      <alignment horizontal="center" vertical="top" wrapText="1"/>
    </xf>
    <xf numFmtId="10" fontId="5" fillId="0" borderId="1" xfId="0" applyNumberFormat="1" applyFont="1" applyBorder="1" applyAlignment="1">
      <alignment horizontal="center" vertical="top" wrapText="1"/>
    </xf>
    <xf numFmtId="9" fontId="5" fillId="0" borderId="1" xfId="0" applyNumberFormat="1" applyFont="1" applyBorder="1" applyAlignment="1">
      <alignment horizontal="center" vertical="top" wrapText="1"/>
    </xf>
    <xf numFmtId="1" fontId="5" fillId="0" borderId="1" xfId="0" applyNumberFormat="1" applyFont="1" applyBorder="1" applyAlignment="1">
      <alignment horizontal="right" vertical="top" wrapText="1"/>
    </xf>
    <xf numFmtId="0" fontId="5" fillId="0" borderId="1" xfId="0" applyFont="1" applyBorder="1" applyAlignment="1">
      <alignment horizontal="justify" vertical="center" wrapText="1"/>
    </xf>
    <xf numFmtId="9" fontId="5" fillId="0" borderId="1" xfId="2" applyFont="1" applyBorder="1" applyAlignment="1" applyProtection="1">
      <alignment horizontal="center" vertical="top" wrapText="1"/>
    </xf>
    <xf numFmtId="0" fontId="5" fillId="0" borderId="1" xfId="0" applyFont="1" applyBorder="1" applyAlignment="1">
      <alignment horizontal="center" vertical="top" wrapText="1"/>
    </xf>
    <xf numFmtId="0" fontId="10" fillId="0" borderId="1" xfId="0" applyFont="1" applyBorder="1" applyAlignment="1">
      <alignment horizontal="justify" vertical="top" wrapText="1"/>
    </xf>
    <xf numFmtId="0" fontId="5" fillId="0" borderId="1" xfId="0" applyFont="1" applyBorder="1" applyAlignment="1" applyProtection="1">
      <alignment horizontal="center" vertical="center" wrapText="1"/>
      <protection hidden="1"/>
    </xf>
    <xf numFmtId="164" fontId="5" fillId="0" borderId="1" xfId="0" applyNumberFormat="1" applyFont="1" applyBorder="1" applyAlignment="1" applyProtection="1">
      <alignment horizontal="right" vertical="top" wrapText="1"/>
      <protection hidden="1"/>
    </xf>
    <xf numFmtId="0" fontId="0" fillId="0" borderId="1" xfId="0" applyBorder="1" applyAlignment="1">
      <alignment vertical="top" wrapText="1"/>
    </xf>
    <xf numFmtId="0" fontId="17" fillId="0" borderId="1" xfId="0" applyFont="1" applyBorder="1" applyAlignment="1">
      <alignment horizontal="justify" vertical="top" wrapText="1"/>
    </xf>
    <xf numFmtId="9" fontId="10" fillId="0" borderId="1" xfId="0" applyNumberFormat="1" applyFont="1" applyBorder="1" applyAlignment="1" applyProtection="1">
      <alignment horizontal="justify" vertical="top" wrapText="1"/>
      <protection hidden="1"/>
    </xf>
    <xf numFmtId="10" fontId="5" fillId="4" borderId="1" xfId="0" applyNumberFormat="1" applyFont="1" applyFill="1" applyBorder="1" applyAlignment="1" applyProtection="1">
      <alignment wrapText="1"/>
      <protection hidden="1"/>
    </xf>
    <xf numFmtId="10" fontId="5" fillId="4" borderId="1" xfId="2" applyNumberFormat="1" applyFont="1" applyFill="1" applyBorder="1" applyAlignment="1" applyProtection="1">
      <alignment wrapText="1"/>
      <protection hidden="1"/>
    </xf>
    <xf numFmtId="10" fontId="5" fillId="4" borderId="1" xfId="2" applyNumberFormat="1" applyFont="1" applyFill="1" applyBorder="1" applyAlignment="1" applyProtection="1">
      <alignment horizontal="center" vertical="top" wrapText="1"/>
      <protection hidden="1"/>
    </xf>
    <xf numFmtId="10" fontId="5" fillId="4" borderId="1" xfId="2" applyNumberFormat="1" applyFont="1" applyFill="1" applyBorder="1" applyAlignment="1" applyProtection="1">
      <alignment horizontal="center" wrapText="1"/>
      <protection hidden="1"/>
    </xf>
    <xf numFmtId="0" fontId="5" fillId="0" borderId="0" xfId="0" applyFont="1" applyBorder="1" applyAlignment="1" applyProtection="1">
      <alignment horizontal="left" vertical="top" wrapText="1"/>
      <protection hidden="1"/>
    </xf>
    <xf numFmtId="0" fontId="6"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vertical="top" wrapText="1"/>
      <protection hidden="1"/>
    </xf>
    <xf numFmtId="0" fontId="6" fillId="2"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0" borderId="2"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5" fillId="0" borderId="1" xfId="0" applyFont="1" applyBorder="1" applyAlignment="1" applyProtection="1">
      <alignment horizontal="justify" vertical="center" wrapText="1"/>
      <protection hidden="1"/>
    </xf>
    <xf numFmtId="0" fontId="6" fillId="5" borderId="3" xfId="0" applyFont="1" applyFill="1" applyBorder="1" applyAlignment="1" applyProtection="1">
      <alignment horizontal="center" vertical="center" wrapText="1"/>
      <protection hidden="1"/>
    </xf>
    <xf numFmtId="0" fontId="6" fillId="5" borderId="4" xfId="0" applyFont="1" applyFill="1" applyBorder="1" applyAlignment="1" applyProtection="1">
      <alignment horizontal="center" vertical="center" wrapText="1"/>
      <protection hidden="1"/>
    </xf>
    <xf numFmtId="0" fontId="6" fillId="5" borderId="5" xfId="0" applyFont="1" applyFill="1" applyBorder="1" applyAlignment="1" applyProtection="1">
      <alignment horizontal="justify" vertical="center" wrapText="1"/>
      <protection hidden="1"/>
    </xf>
    <xf numFmtId="0" fontId="6" fillId="9"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justify" vertical="center" wrapText="1"/>
      <protection hidden="1"/>
    </xf>
    <xf numFmtId="0" fontId="6" fillId="2" borderId="1" xfId="0" applyFont="1" applyFill="1" applyBorder="1" applyAlignment="1" applyProtection="1">
      <alignment horizontal="center" wrapText="1"/>
      <protection hidden="1"/>
    </xf>
    <xf numFmtId="0" fontId="5" fillId="0" borderId="1" xfId="0" applyFont="1" applyBorder="1" applyAlignment="1" applyProtection="1">
      <alignment horizontal="center" wrapText="1"/>
      <protection hidden="1"/>
    </xf>
    <xf numFmtId="0" fontId="6" fillId="4"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justify"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10" fontId="10" fillId="10" borderId="1" xfId="0" applyNumberFormat="1" applyFont="1" applyFill="1" applyBorder="1" applyAlignment="1" applyProtection="1">
      <alignment horizontal="center" vertical="top" wrapText="1"/>
      <protection hidden="1"/>
    </xf>
    <xf numFmtId="10" fontId="7" fillId="11" borderId="1" xfId="2" applyNumberFormat="1" applyFont="1" applyFill="1" applyBorder="1" applyAlignment="1" applyProtection="1">
      <alignment horizontal="right" vertical="top" wrapText="1"/>
    </xf>
    <xf numFmtId="10" fontId="5" fillId="11" borderId="1" xfId="2" applyNumberFormat="1" applyFont="1" applyFill="1" applyBorder="1" applyAlignment="1" applyProtection="1">
      <alignment horizontal="right" vertical="top" wrapText="1"/>
    </xf>
    <xf numFmtId="10" fontId="10" fillId="11" borderId="1" xfId="0" applyNumberFormat="1" applyFont="1" applyFill="1" applyBorder="1" applyAlignment="1" applyProtection="1">
      <alignment horizontal="left" vertical="top" wrapText="1"/>
      <protection hidden="1"/>
    </xf>
    <xf numFmtId="9" fontId="10" fillId="10" borderId="1" xfId="0" applyNumberFormat="1" applyFont="1" applyFill="1" applyBorder="1" applyAlignment="1" applyProtection="1">
      <alignment horizontal="center" vertical="top" wrapText="1"/>
      <protection hidden="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0</xdr:row>
      <xdr:rowOff>100693</xdr:rowOff>
    </xdr:from>
    <xdr:to>
      <xdr:col>2</xdr:col>
      <xdr:colOff>423049</xdr:colOff>
      <xdr:row>0</xdr:row>
      <xdr:rowOff>911679</xdr:rowOff>
    </xdr:to>
    <xdr:pic>
      <xdr:nvPicPr>
        <xdr:cNvPr id="1028" name="Imagen 1">
          <a:extLst>
            <a:ext uri="{FF2B5EF4-FFF2-40B4-BE49-F238E27FC236}">
              <a16:creationId xmlns:a16="http://schemas.microsoft.com/office/drawing/2014/main" id="{34A31A3D-2D60-4FF3-8592-63E6F88AFB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100693"/>
          <a:ext cx="2545764" cy="810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hapinero.gov.co/tabla_archivos/107-registro-publicacion-chapin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9"/>
  <sheetViews>
    <sheetView showGridLines="0" tabSelected="1" topLeftCell="AJ9" zoomScaleNormal="100" workbookViewId="0">
      <selection activeCell="AR16" sqref="AR16"/>
    </sheetView>
  </sheetViews>
  <sheetFormatPr baseColWidth="10" defaultColWidth="10.85546875" defaultRowHeight="15" x14ac:dyDescent="0.25"/>
  <cols>
    <col min="1" max="1" width="7.140625" style="1" customWidth="1"/>
    <col min="2" max="2" width="25.5703125" style="1" customWidth="1"/>
    <col min="3" max="3" width="13.85546875" style="1" customWidth="1"/>
    <col min="4" max="4" width="44.28515625" style="1" bestFit="1" customWidth="1"/>
    <col min="5" max="5" width="15.5703125" style="1" customWidth="1"/>
    <col min="6" max="6" width="14.140625" style="1" customWidth="1"/>
    <col min="7" max="7" width="15.85546875" style="1" customWidth="1"/>
    <col min="8" max="8" width="28.7109375" style="1" customWidth="1"/>
    <col min="9" max="9" width="8.140625" style="1" customWidth="1"/>
    <col min="10" max="10" width="21.85546875" style="1" customWidth="1"/>
    <col min="11" max="11" width="15.85546875" style="1" customWidth="1"/>
    <col min="12" max="13" width="7.28515625" style="1" customWidth="1"/>
    <col min="14" max="14" width="13.85546875" style="1" customWidth="1"/>
    <col min="15" max="15" width="7.28515625" style="1" customWidth="1"/>
    <col min="16" max="16" width="17.42578125" style="1" customWidth="1"/>
    <col min="17" max="21" width="17.85546875" style="1" customWidth="1"/>
    <col min="22" max="23" width="23.7109375" style="33" customWidth="1"/>
    <col min="24" max="24" width="16.5703125" style="33" customWidth="1"/>
    <col min="25" max="25" width="55.28515625" style="37" customWidth="1"/>
    <col min="26" max="26" width="23.7109375" style="37" customWidth="1"/>
    <col min="27" max="27" width="15.7109375" style="1" customWidth="1"/>
    <col min="28" max="28" width="17.7109375" style="1" customWidth="1"/>
    <col min="29" max="29" width="16.5703125" style="1" customWidth="1"/>
    <col min="30" max="30" width="68" style="77" customWidth="1"/>
    <col min="31" max="31" width="35.7109375" style="77" customWidth="1"/>
    <col min="32" max="32" width="18.85546875" style="1" customWidth="1"/>
    <col min="33" max="34" width="16.5703125" style="1" customWidth="1"/>
    <col min="35" max="35" width="67.42578125" style="1" customWidth="1"/>
    <col min="36" max="36" width="24.42578125" style="1" customWidth="1"/>
    <col min="37" max="37" width="20.85546875" style="1" customWidth="1"/>
    <col min="38" max="41" width="16.5703125" style="1" customWidth="1"/>
    <col min="42" max="42" width="21.85546875" style="39" bestFit="1" customWidth="1"/>
    <col min="43" max="43" width="17.7109375" style="39" bestFit="1" customWidth="1"/>
    <col min="44" max="44" width="21.5703125" style="39" customWidth="1"/>
    <col min="45" max="45" width="48.42578125" style="77" customWidth="1"/>
    <col min="46" max="16384" width="10.85546875" style="1"/>
  </cols>
  <sheetData>
    <row r="1" spans="1:45" ht="83.25" customHeight="1" x14ac:dyDescent="0.25">
      <c r="A1" s="120" t="s">
        <v>0</v>
      </c>
      <c r="B1" s="121"/>
      <c r="C1" s="121"/>
      <c r="D1" s="121"/>
      <c r="E1" s="121"/>
      <c r="F1" s="121"/>
      <c r="G1" s="121"/>
      <c r="H1" s="121"/>
      <c r="I1" s="121"/>
      <c r="J1" s="121"/>
      <c r="K1" s="121"/>
      <c r="L1" s="122" t="s">
        <v>1</v>
      </c>
      <c r="M1" s="122"/>
      <c r="N1" s="122"/>
      <c r="O1" s="122"/>
      <c r="P1" s="122"/>
    </row>
    <row r="2" spans="1:45" s="2" customFormat="1" ht="23.45" customHeight="1" x14ac:dyDescent="0.25">
      <c r="A2" s="123" t="s">
        <v>2</v>
      </c>
      <c r="B2" s="124"/>
      <c r="C2" s="124"/>
      <c r="D2" s="124"/>
      <c r="E2" s="124"/>
      <c r="F2" s="124"/>
      <c r="G2" s="124"/>
      <c r="H2" s="124"/>
      <c r="I2" s="124"/>
      <c r="J2" s="124"/>
      <c r="K2" s="124"/>
      <c r="L2" s="124"/>
      <c r="M2" s="124"/>
      <c r="N2" s="124"/>
      <c r="O2" s="124"/>
      <c r="P2" s="124"/>
      <c r="V2" s="33"/>
      <c r="W2" s="33"/>
      <c r="X2" s="33"/>
      <c r="Y2" s="37"/>
      <c r="Z2" s="37"/>
      <c r="AD2" s="78"/>
      <c r="AE2" s="78"/>
      <c r="AP2" s="40"/>
      <c r="AQ2" s="40"/>
      <c r="AR2" s="40"/>
      <c r="AS2" s="78"/>
    </row>
    <row r="4" spans="1:45" ht="29.1" customHeight="1" x14ac:dyDescent="0.25">
      <c r="A4" s="119" t="s">
        <v>3</v>
      </c>
      <c r="B4" s="119"/>
      <c r="C4" s="122" t="s">
        <v>4</v>
      </c>
      <c r="D4" s="122"/>
      <c r="F4" s="119" t="s">
        <v>5</v>
      </c>
      <c r="G4" s="119"/>
      <c r="H4" s="119"/>
      <c r="I4" s="119"/>
      <c r="J4" s="119"/>
      <c r="K4" s="119"/>
    </row>
    <row r="5" spans="1:45" x14ac:dyDescent="0.25">
      <c r="A5" s="119"/>
      <c r="B5" s="119"/>
      <c r="C5" s="122"/>
      <c r="D5" s="122"/>
      <c r="F5" s="3" t="s">
        <v>6</v>
      </c>
      <c r="G5" s="3" t="s">
        <v>7</v>
      </c>
      <c r="H5" s="131" t="s">
        <v>8</v>
      </c>
      <c r="I5" s="131"/>
      <c r="J5" s="131"/>
      <c r="K5" s="131"/>
    </row>
    <row r="6" spans="1:45" x14ac:dyDescent="0.25">
      <c r="A6" s="119"/>
      <c r="B6" s="119"/>
      <c r="C6" s="122"/>
      <c r="D6" s="122"/>
      <c r="F6" s="51">
        <v>1</v>
      </c>
      <c r="G6" s="51" t="s">
        <v>9</v>
      </c>
      <c r="H6" s="132" t="s">
        <v>10</v>
      </c>
      <c r="I6" s="132"/>
      <c r="J6" s="132"/>
      <c r="K6" s="132"/>
    </row>
    <row r="7" spans="1:45" ht="187.5" customHeight="1" x14ac:dyDescent="0.25">
      <c r="A7" s="119"/>
      <c r="B7" s="119"/>
      <c r="C7" s="122"/>
      <c r="D7" s="122"/>
      <c r="F7" s="51">
        <v>2</v>
      </c>
      <c r="G7" s="51" t="s">
        <v>11</v>
      </c>
      <c r="H7" s="125" t="s">
        <v>12</v>
      </c>
      <c r="I7" s="125"/>
      <c r="J7" s="125"/>
      <c r="K7" s="125"/>
    </row>
    <row r="8" spans="1:45" ht="87" customHeight="1" x14ac:dyDescent="0.25">
      <c r="A8" s="119"/>
      <c r="B8" s="119"/>
      <c r="C8" s="122"/>
      <c r="D8" s="122"/>
      <c r="F8" s="107">
        <v>3</v>
      </c>
      <c r="G8" s="107" t="s">
        <v>13</v>
      </c>
      <c r="H8" s="125" t="s">
        <v>14</v>
      </c>
      <c r="I8" s="125"/>
      <c r="J8" s="125"/>
      <c r="K8" s="125"/>
    </row>
    <row r="9" spans="1:45" ht="87" customHeight="1" x14ac:dyDescent="0.25">
      <c r="A9" s="117"/>
      <c r="B9" s="117"/>
      <c r="C9" s="118"/>
      <c r="D9" s="116"/>
      <c r="F9" s="107">
        <v>4</v>
      </c>
      <c r="G9" s="107" t="s">
        <v>323</v>
      </c>
      <c r="H9" s="125" t="s">
        <v>322</v>
      </c>
      <c r="I9" s="125"/>
      <c r="J9" s="125"/>
      <c r="K9" s="125"/>
    </row>
    <row r="11" spans="1:45" ht="14.45" customHeight="1" x14ac:dyDescent="0.25">
      <c r="A11" s="119" t="s">
        <v>15</v>
      </c>
      <c r="B11" s="119"/>
      <c r="C11" s="119" t="s">
        <v>16</v>
      </c>
      <c r="D11" s="119" t="s">
        <v>17</v>
      </c>
      <c r="E11" s="119"/>
      <c r="F11" s="119"/>
      <c r="G11" s="119"/>
      <c r="H11" s="119"/>
      <c r="I11" s="119"/>
      <c r="J11" s="119"/>
      <c r="K11" s="119"/>
      <c r="L11" s="119"/>
      <c r="M11" s="119"/>
      <c r="N11" s="119"/>
      <c r="O11" s="119"/>
      <c r="P11" s="119"/>
      <c r="Q11" s="133" t="s">
        <v>18</v>
      </c>
      <c r="R11" s="133"/>
      <c r="S11" s="133"/>
      <c r="T11" s="133"/>
      <c r="U11" s="133"/>
      <c r="V11" s="129" t="s">
        <v>19</v>
      </c>
      <c r="W11" s="129"/>
      <c r="X11" s="129"/>
      <c r="Y11" s="130"/>
      <c r="Z11" s="130"/>
      <c r="AA11" s="134" t="s">
        <v>19</v>
      </c>
      <c r="AB11" s="134"/>
      <c r="AC11" s="134"/>
      <c r="AD11" s="134"/>
      <c r="AE11" s="135"/>
      <c r="AF11" s="136" t="s">
        <v>19</v>
      </c>
      <c r="AG11" s="136"/>
      <c r="AH11" s="136"/>
      <c r="AI11" s="136"/>
      <c r="AJ11" s="136"/>
      <c r="AK11" s="137" t="s">
        <v>19</v>
      </c>
      <c r="AL11" s="137"/>
      <c r="AM11" s="137"/>
      <c r="AN11" s="137"/>
      <c r="AO11" s="137"/>
      <c r="AP11" s="126" t="s">
        <v>20</v>
      </c>
      <c r="AQ11" s="127"/>
      <c r="AR11" s="127"/>
      <c r="AS11" s="128"/>
    </row>
    <row r="12" spans="1:45" ht="14.45" customHeight="1" x14ac:dyDescent="0.25">
      <c r="A12" s="119"/>
      <c r="B12" s="119"/>
      <c r="C12" s="119"/>
      <c r="D12" s="119"/>
      <c r="E12" s="119"/>
      <c r="F12" s="119"/>
      <c r="G12" s="119"/>
      <c r="H12" s="119"/>
      <c r="I12" s="119"/>
      <c r="J12" s="119"/>
      <c r="K12" s="119"/>
      <c r="L12" s="119"/>
      <c r="M12" s="119"/>
      <c r="N12" s="119"/>
      <c r="O12" s="119"/>
      <c r="P12" s="119"/>
      <c r="Q12" s="133"/>
      <c r="R12" s="133"/>
      <c r="S12" s="133"/>
      <c r="T12" s="133"/>
      <c r="U12" s="133"/>
      <c r="V12" s="129" t="s">
        <v>21</v>
      </c>
      <c r="W12" s="129"/>
      <c r="X12" s="129"/>
      <c r="Y12" s="130"/>
      <c r="Z12" s="130"/>
      <c r="AA12" s="134" t="s">
        <v>22</v>
      </c>
      <c r="AB12" s="134"/>
      <c r="AC12" s="134"/>
      <c r="AD12" s="134"/>
      <c r="AE12" s="135"/>
      <c r="AF12" s="136" t="s">
        <v>23</v>
      </c>
      <c r="AG12" s="136"/>
      <c r="AH12" s="136"/>
      <c r="AI12" s="136"/>
      <c r="AJ12" s="136"/>
      <c r="AK12" s="137" t="s">
        <v>24</v>
      </c>
      <c r="AL12" s="137"/>
      <c r="AM12" s="137"/>
      <c r="AN12" s="137"/>
      <c r="AO12" s="137"/>
      <c r="AP12" s="126" t="s">
        <v>25</v>
      </c>
      <c r="AQ12" s="127"/>
      <c r="AR12" s="127"/>
      <c r="AS12" s="128"/>
    </row>
    <row r="13" spans="1:45" ht="60" x14ac:dyDescent="0.25">
      <c r="A13" s="50" t="s">
        <v>26</v>
      </c>
      <c r="B13" s="50" t="s">
        <v>27</v>
      </c>
      <c r="C13" s="119"/>
      <c r="D13" s="50" t="s">
        <v>28</v>
      </c>
      <c r="E13" s="50" t="s">
        <v>29</v>
      </c>
      <c r="F13" s="50" t="s">
        <v>30</v>
      </c>
      <c r="G13" s="50" t="s">
        <v>31</v>
      </c>
      <c r="H13" s="50" t="s">
        <v>32</v>
      </c>
      <c r="I13" s="50" t="s">
        <v>33</v>
      </c>
      <c r="J13" s="50" t="s">
        <v>34</v>
      </c>
      <c r="K13" s="50" t="s">
        <v>35</v>
      </c>
      <c r="L13" s="50" t="s">
        <v>36</v>
      </c>
      <c r="M13" s="50" t="s">
        <v>37</v>
      </c>
      <c r="N13" s="50" t="s">
        <v>38</v>
      </c>
      <c r="O13" s="50" t="s">
        <v>39</v>
      </c>
      <c r="P13" s="50" t="s">
        <v>40</v>
      </c>
      <c r="Q13" s="54" t="s">
        <v>41</v>
      </c>
      <c r="R13" s="54" t="s">
        <v>42</v>
      </c>
      <c r="S13" s="54" t="s">
        <v>43</v>
      </c>
      <c r="T13" s="54" t="s">
        <v>44</v>
      </c>
      <c r="U13" s="54" t="s">
        <v>45</v>
      </c>
      <c r="V13" s="53" t="s">
        <v>46</v>
      </c>
      <c r="W13" s="53" t="s">
        <v>47</v>
      </c>
      <c r="X13" s="53" t="s">
        <v>48</v>
      </c>
      <c r="Y13" s="83" t="s">
        <v>49</v>
      </c>
      <c r="Z13" s="83" t="s">
        <v>50</v>
      </c>
      <c r="AA13" s="55" t="s">
        <v>46</v>
      </c>
      <c r="AB13" s="55" t="s">
        <v>47</v>
      </c>
      <c r="AC13" s="87" t="s">
        <v>48</v>
      </c>
      <c r="AD13" s="85" t="s">
        <v>49</v>
      </c>
      <c r="AE13" s="85" t="s">
        <v>50</v>
      </c>
      <c r="AF13" s="56" t="s">
        <v>46</v>
      </c>
      <c r="AG13" s="56" t="s">
        <v>47</v>
      </c>
      <c r="AH13" s="56" t="s">
        <v>48</v>
      </c>
      <c r="AI13" s="56" t="s">
        <v>49</v>
      </c>
      <c r="AJ13" s="56" t="s">
        <v>50</v>
      </c>
      <c r="AK13" s="57" t="s">
        <v>46</v>
      </c>
      <c r="AL13" s="57" t="s">
        <v>47</v>
      </c>
      <c r="AM13" s="57" t="s">
        <v>48</v>
      </c>
      <c r="AN13" s="57" t="s">
        <v>49</v>
      </c>
      <c r="AO13" s="57" t="s">
        <v>50</v>
      </c>
      <c r="AP13" s="30" t="s">
        <v>46</v>
      </c>
      <c r="AQ13" s="30" t="s">
        <v>47</v>
      </c>
      <c r="AR13" s="30" t="s">
        <v>48</v>
      </c>
      <c r="AS13" s="86" t="s">
        <v>51</v>
      </c>
    </row>
    <row r="14" spans="1:45" s="31" customFormat="1" ht="180" x14ac:dyDescent="0.25">
      <c r="A14" s="52">
        <v>4</v>
      </c>
      <c r="B14" s="52" t="s">
        <v>52</v>
      </c>
      <c r="C14" s="52" t="s">
        <v>53</v>
      </c>
      <c r="D14" s="52" t="s">
        <v>54</v>
      </c>
      <c r="E14" s="4">
        <f t="shared" ref="E14:E31" si="0">+(5.55555555555556%*80%)/100%</f>
        <v>4.4444444444444481E-2</v>
      </c>
      <c r="F14" s="52" t="s">
        <v>55</v>
      </c>
      <c r="G14" s="52" t="s">
        <v>56</v>
      </c>
      <c r="H14" s="52" t="s">
        <v>57</v>
      </c>
      <c r="I14" s="5">
        <v>6.6000000000000003E-2</v>
      </c>
      <c r="J14" s="52" t="s">
        <v>58</v>
      </c>
      <c r="K14" s="52" t="s">
        <v>59</v>
      </c>
      <c r="L14" s="6">
        <v>0</v>
      </c>
      <c r="M14" s="6">
        <v>0.02</v>
      </c>
      <c r="N14" s="6">
        <v>0.06</v>
      </c>
      <c r="O14" s="6">
        <v>0.1</v>
      </c>
      <c r="P14" s="6">
        <v>0.1</v>
      </c>
      <c r="Q14" s="52" t="s">
        <v>60</v>
      </c>
      <c r="R14" s="52" t="s">
        <v>61</v>
      </c>
      <c r="S14" s="52" t="s">
        <v>62</v>
      </c>
      <c r="T14" s="52" t="s">
        <v>63</v>
      </c>
      <c r="U14" s="52" t="s">
        <v>64</v>
      </c>
      <c r="V14" s="34" t="s">
        <v>65</v>
      </c>
      <c r="W14" s="34" t="s">
        <v>65</v>
      </c>
      <c r="X14" s="34" t="s">
        <v>65</v>
      </c>
      <c r="Y14" s="38" t="s">
        <v>66</v>
      </c>
      <c r="Z14" s="38" t="s">
        <v>65</v>
      </c>
      <c r="AA14" s="46">
        <v>6.0000000000000001E-3</v>
      </c>
      <c r="AB14" s="92">
        <v>6.0000000000000001E-3</v>
      </c>
      <c r="AC14" s="93">
        <f>IF(AB14/AA14&gt;100%,100%,AB14/AA14)</f>
        <v>1</v>
      </c>
      <c r="AD14" s="94" t="s">
        <v>67</v>
      </c>
      <c r="AE14" s="94" t="s">
        <v>68</v>
      </c>
      <c r="AF14" s="108">
        <v>1.9E-2</v>
      </c>
      <c r="AG14" s="108">
        <v>1.9E-2</v>
      </c>
      <c r="AH14" s="93">
        <f>IF(AG14/AF14&gt;100%,100%,AG14/AF14)</f>
        <v>1</v>
      </c>
      <c r="AI14" s="52" t="s">
        <v>294</v>
      </c>
      <c r="AJ14" s="52" t="s">
        <v>69</v>
      </c>
      <c r="AK14" s="27">
        <f>O14</f>
        <v>0.1</v>
      </c>
      <c r="AL14" s="95"/>
      <c r="AM14" s="93">
        <f>IF(AL14/AK14&gt;100%,100%,AL14/AK14)</f>
        <v>0</v>
      </c>
      <c r="AN14" s="52"/>
      <c r="AO14" s="52"/>
      <c r="AP14" s="34">
        <f>P14</f>
        <v>0.1</v>
      </c>
      <c r="AQ14" s="47">
        <v>1.9E-2</v>
      </c>
      <c r="AR14" s="43">
        <f>AQ14/AP14</f>
        <v>0.18999999999999997</v>
      </c>
      <c r="AS14" s="94" t="s">
        <v>293</v>
      </c>
    </row>
    <row r="15" spans="1:45" s="31" customFormat="1" ht="90" x14ac:dyDescent="0.25">
      <c r="A15" s="52">
        <v>4</v>
      </c>
      <c r="B15" s="52" t="s">
        <v>52</v>
      </c>
      <c r="C15" s="52" t="s">
        <v>53</v>
      </c>
      <c r="D15" s="52" t="s">
        <v>70</v>
      </c>
      <c r="E15" s="4">
        <f t="shared" si="0"/>
        <v>4.4444444444444481E-2</v>
      </c>
      <c r="F15" s="52" t="s">
        <v>55</v>
      </c>
      <c r="G15" s="52" t="s">
        <v>71</v>
      </c>
      <c r="H15" s="52" t="s">
        <v>72</v>
      </c>
      <c r="I15" s="52" t="s">
        <v>73</v>
      </c>
      <c r="J15" s="52" t="s">
        <v>74</v>
      </c>
      <c r="K15" s="52" t="s">
        <v>59</v>
      </c>
      <c r="L15" s="6">
        <v>0</v>
      </c>
      <c r="M15" s="6">
        <v>0</v>
      </c>
      <c r="N15" s="6">
        <v>0</v>
      </c>
      <c r="O15" s="6">
        <v>0.15</v>
      </c>
      <c r="P15" s="6">
        <v>0.15</v>
      </c>
      <c r="Q15" s="52" t="s">
        <v>60</v>
      </c>
      <c r="R15" s="52" t="s">
        <v>75</v>
      </c>
      <c r="S15" s="52" t="s">
        <v>76</v>
      </c>
      <c r="T15" s="52" t="s">
        <v>63</v>
      </c>
      <c r="U15" s="52" t="s">
        <v>77</v>
      </c>
      <c r="V15" s="34" t="s">
        <v>65</v>
      </c>
      <c r="W15" s="34" t="s">
        <v>65</v>
      </c>
      <c r="X15" s="34" t="s">
        <v>65</v>
      </c>
      <c r="Y15" s="38" t="s">
        <v>66</v>
      </c>
      <c r="Z15" s="38" t="s">
        <v>65</v>
      </c>
      <c r="AA15" s="27" t="s">
        <v>65</v>
      </c>
      <c r="AB15" s="27" t="s">
        <v>65</v>
      </c>
      <c r="AC15" s="46" t="s">
        <v>65</v>
      </c>
      <c r="AD15" s="79" t="s">
        <v>78</v>
      </c>
      <c r="AE15" s="79" t="s">
        <v>65</v>
      </c>
      <c r="AF15" s="27" t="s">
        <v>65</v>
      </c>
      <c r="AG15" s="27" t="s">
        <v>65</v>
      </c>
      <c r="AH15" s="46" t="s">
        <v>65</v>
      </c>
      <c r="AI15" s="79" t="s">
        <v>295</v>
      </c>
      <c r="AJ15" s="79" t="s">
        <v>65</v>
      </c>
      <c r="AK15" s="27">
        <f t="shared" ref="AK15:AK37" si="1">O15</f>
        <v>0.15</v>
      </c>
      <c r="AL15" s="95">
        <v>0</v>
      </c>
      <c r="AM15" s="93">
        <f>IF(AL15/AK15&gt;100%,100%,AL15/AK15)</f>
        <v>0</v>
      </c>
      <c r="AN15" s="52"/>
      <c r="AO15" s="52"/>
      <c r="AP15" s="34">
        <f t="shared" ref="AP15:AP37" si="2">P15</f>
        <v>0.15</v>
      </c>
      <c r="AQ15" s="34">
        <v>0</v>
      </c>
      <c r="AR15" s="43">
        <v>0</v>
      </c>
      <c r="AS15" s="38" t="s">
        <v>296</v>
      </c>
    </row>
    <row r="16" spans="1:45" s="62" customFormat="1" ht="345" x14ac:dyDescent="0.25">
      <c r="A16" s="8">
        <v>4</v>
      </c>
      <c r="B16" s="8" t="s">
        <v>52</v>
      </c>
      <c r="C16" s="8" t="s">
        <v>53</v>
      </c>
      <c r="D16" s="8" t="s">
        <v>79</v>
      </c>
      <c r="E16" s="58">
        <f t="shared" si="0"/>
        <v>4.4444444444444481E-2</v>
      </c>
      <c r="F16" s="8" t="s">
        <v>80</v>
      </c>
      <c r="G16" s="8" t="s">
        <v>81</v>
      </c>
      <c r="H16" s="8" t="s">
        <v>82</v>
      </c>
      <c r="I16" s="8" t="s">
        <v>73</v>
      </c>
      <c r="J16" s="8" t="s">
        <v>58</v>
      </c>
      <c r="K16" s="8" t="s">
        <v>59</v>
      </c>
      <c r="L16" s="59">
        <v>0.05</v>
      </c>
      <c r="M16" s="59">
        <v>0.4</v>
      </c>
      <c r="N16" s="59">
        <v>0.8</v>
      </c>
      <c r="O16" s="59">
        <v>1</v>
      </c>
      <c r="P16" s="59">
        <v>1</v>
      </c>
      <c r="Q16" s="8" t="s">
        <v>60</v>
      </c>
      <c r="R16" s="8" t="s">
        <v>83</v>
      </c>
      <c r="S16" s="8" t="s">
        <v>84</v>
      </c>
      <c r="T16" s="8" t="s">
        <v>63</v>
      </c>
      <c r="U16" s="8" t="s">
        <v>85</v>
      </c>
      <c r="V16" s="60">
        <f t="shared" ref="V16:V31" si="3">L16</f>
        <v>0.05</v>
      </c>
      <c r="W16" s="96">
        <v>0.06</v>
      </c>
      <c r="X16" s="96">
        <v>1</v>
      </c>
      <c r="Y16" s="97" t="s">
        <v>86</v>
      </c>
      <c r="Z16" s="97" t="s">
        <v>87</v>
      </c>
      <c r="AA16" s="61">
        <f t="shared" ref="AA16:AA37" si="4">M16</f>
        <v>0.4</v>
      </c>
      <c r="AB16" s="98">
        <v>0.16220000000000001</v>
      </c>
      <c r="AC16" s="99">
        <f t="shared" ref="AC16:AC30" si="5">IF(AB16/AA16&gt;100%,100%,AB16/AA16)</f>
        <v>0.40550000000000003</v>
      </c>
      <c r="AD16" s="80" t="s">
        <v>88</v>
      </c>
      <c r="AE16" s="80" t="s">
        <v>89</v>
      </c>
      <c r="AF16" s="61">
        <f t="shared" ref="AF16:AF37" si="6">N16</f>
        <v>0.8</v>
      </c>
      <c r="AG16" s="139">
        <v>0.43240000000000001</v>
      </c>
      <c r="AH16" s="99">
        <f t="shared" ref="AH16:AH30" si="7">IF(AG16/AF16&gt;100%,100%,AG16/AF16)</f>
        <v>0.54049999999999998</v>
      </c>
      <c r="AI16" s="8" t="s">
        <v>297</v>
      </c>
      <c r="AJ16" s="8" t="s">
        <v>90</v>
      </c>
      <c r="AK16" s="61">
        <f t="shared" si="1"/>
        <v>1</v>
      </c>
      <c r="AL16" s="98"/>
      <c r="AM16" s="99">
        <f t="shared" ref="AM16:AM30" si="8">IF(AL16/AK16&gt;100%,100%,AL16/AK16)</f>
        <v>0</v>
      </c>
      <c r="AN16" s="8"/>
      <c r="AO16" s="8"/>
      <c r="AP16" s="60">
        <f t="shared" si="2"/>
        <v>1</v>
      </c>
      <c r="AQ16" s="91">
        <v>0.43240000000000001</v>
      </c>
      <c r="AR16" s="91">
        <v>0.06</v>
      </c>
      <c r="AS16" s="97" t="s">
        <v>298</v>
      </c>
    </row>
    <row r="17" spans="1:45" s="31" customFormat="1" ht="155.25" customHeight="1" x14ac:dyDescent="0.25">
      <c r="A17" s="52">
        <v>4</v>
      </c>
      <c r="B17" s="52" t="s">
        <v>52</v>
      </c>
      <c r="C17" s="52" t="s">
        <v>91</v>
      </c>
      <c r="D17" s="52" t="s">
        <v>92</v>
      </c>
      <c r="E17" s="4">
        <f t="shared" si="0"/>
        <v>4.4444444444444481E-2</v>
      </c>
      <c r="F17" s="52" t="s">
        <v>55</v>
      </c>
      <c r="G17" s="52" t="s">
        <v>93</v>
      </c>
      <c r="H17" s="52" t="s">
        <v>94</v>
      </c>
      <c r="I17" s="6">
        <v>0.5</v>
      </c>
      <c r="J17" s="52" t="s">
        <v>58</v>
      </c>
      <c r="K17" s="52" t="s">
        <v>59</v>
      </c>
      <c r="L17" s="6">
        <v>0.15</v>
      </c>
      <c r="M17" s="6">
        <v>0.3</v>
      </c>
      <c r="N17" s="7">
        <v>0.45</v>
      </c>
      <c r="O17" s="7">
        <v>0.6</v>
      </c>
      <c r="P17" s="6">
        <v>0.6</v>
      </c>
      <c r="Q17" s="52" t="s">
        <v>95</v>
      </c>
      <c r="R17" s="52" t="s">
        <v>96</v>
      </c>
      <c r="S17" s="52" t="s">
        <v>97</v>
      </c>
      <c r="T17" s="52" t="s">
        <v>63</v>
      </c>
      <c r="U17" s="52" t="s">
        <v>98</v>
      </c>
      <c r="V17" s="34">
        <f t="shared" si="3"/>
        <v>0.15</v>
      </c>
      <c r="W17" s="100">
        <v>0.14649999999999999</v>
      </c>
      <c r="X17" s="101">
        <f>W17/V17</f>
        <v>0.97666666666666668</v>
      </c>
      <c r="Y17" s="94" t="s">
        <v>99</v>
      </c>
      <c r="Z17" s="94" t="s">
        <v>100</v>
      </c>
      <c r="AA17" s="27">
        <f t="shared" si="4"/>
        <v>0.3</v>
      </c>
      <c r="AB17" s="92">
        <v>0.3343341150248606</v>
      </c>
      <c r="AC17" s="93">
        <f t="shared" si="5"/>
        <v>1</v>
      </c>
      <c r="AD17" s="94" t="s">
        <v>101</v>
      </c>
      <c r="AE17" s="79" t="s">
        <v>102</v>
      </c>
      <c r="AF17" s="27">
        <f t="shared" si="6"/>
        <v>0.45</v>
      </c>
      <c r="AG17" s="92">
        <v>0.59370000000000001</v>
      </c>
      <c r="AH17" s="93">
        <f t="shared" si="7"/>
        <v>1</v>
      </c>
      <c r="AI17" s="109" t="s">
        <v>299</v>
      </c>
      <c r="AJ17" s="109" t="s">
        <v>300</v>
      </c>
      <c r="AK17" s="27">
        <f t="shared" si="1"/>
        <v>0.6</v>
      </c>
      <c r="AL17" s="95"/>
      <c r="AM17" s="93">
        <f t="shared" si="8"/>
        <v>0</v>
      </c>
      <c r="AN17" s="52"/>
      <c r="AO17" s="52"/>
      <c r="AP17" s="34">
        <f t="shared" si="2"/>
        <v>0.6</v>
      </c>
      <c r="AQ17" s="92">
        <v>0.59370000000000001</v>
      </c>
      <c r="AR17" s="43">
        <f>AQ17/AP17</f>
        <v>0.98950000000000005</v>
      </c>
      <c r="AS17" s="97" t="s">
        <v>299</v>
      </c>
    </row>
    <row r="18" spans="1:45" s="31" customFormat="1" ht="105" x14ac:dyDescent="0.25">
      <c r="A18" s="52">
        <v>4</v>
      </c>
      <c r="B18" s="52" t="s">
        <v>52</v>
      </c>
      <c r="C18" s="52" t="s">
        <v>91</v>
      </c>
      <c r="D18" s="52" t="s">
        <v>103</v>
      </c>
      <c r="E18" s="4">
        <f t="shared" si="0"/>
        <v>4.4444444444444481E-2</v>
      </c>
      <c r="F18" s="52" t="s">
        <v>55</v>
      </c>
      <c r="G18" s="52" t="s">
        <v>104</v>
      </c>
      <c r="H18" s="52" t="s">
        <v>105</v>
      </c>
      <c r="I18" s="6">
        <v>0.6</v>
      </c>
      <c r="J18" s="52" t="s">
        <v>58</v>
      </c>
      <c r="K18" s="52" t="s">
        <v>59</v>
      </c>
      <c r="L18" s="6">
        <v>0.15</v>
      </c>
      <c r="M18" s="6">
        <v>0.3</v>
      </c>
      <c r="N18" s="7">
        <v>0.45</v>
      </c>
      <c r="O18" s="7">
        <v>0.6</v>
      </c>
      <c r="P18" s="6">
        <v>0.6</v>
      </c>
      <c r="Q18" s="52" t="s">
        <v>95</v>
      </c>
      <c r="R18" s="52" t="s">
        <v>96</v>
      </c>
      <c r="S18" s="52" t="s">
        <v>97</v>
      </c>
      <c r="T18" s="52" t="s">
        <v>63</v>
      </c>
      <c r="U18" s="52" t="s">
        <v>98</v>
      </c>
      <c r="V18" s="34">
        <f t="shared" si="3"/>
        <v>0.15</v>
      </c>
      <c r="W18" s="100">
        <v>0.151</v>
      </c>
      <c r="X18" s="101">
        <v>1</v>
      </c>
      <c r="Y18" s="94" t="s">
        <v>106</v>
      </c>
      <c r="Z18" s="94" t="s">
        <v>100</v>
      </c>
      <c r="AA18" s="27">
        <f t="shared" si="4"/>
        <v>0.3</v>
      </c>
      <c r="AB18" s="92">
        <v>0.40579999999999999</v>
      </c>
      <c r="AC18" s="93">
        <f>IF(AB18/AA18&gt;100%,100%,AB18/AA18)</f>
        <v>1</v>
      </c>
      <c r="AD18" s="94" t="s">
        <v>107</v>
      </c>
      <c r="AE18" s="94" t="s">
        <v>108</v>
      </c>
      <c r="AF18" s="27">
        <f t="shared" si="6"/>
        <v>0.45</v>
      </c>
      <c r="AG18" s="92">
        <v>0.57879999999999998</v>
      </c>
      <c r="AH18" s="93">
        <f t="shared" si="7"/>
        <v>1</v>
      </c>
      <c r="AI18" s="109" t="s">
        <v>301</v>
      </c>
      <c r="AJ18" s="109" t="s">
        <v>300</v>
      </c>
      <c r="AK18" s="27">
        <f t="shared" si="1"/>
        <v>0.6</v>
      </c>
      <c r="AL18" s="95"/>
      <c r="AM18" s="93">
        <f t="shared" si="8"/>
        <v>0</v>
      </c>
      <c r="AN18" s="52"/>
      <c r="AO18" s="52"/>
      <c r="AP18" s="34">
        <f t="shared" si="2"/>
        <v>0.6</v>
      </c>
      <c r="AQ18" s="92">
        <v>0.57879999999999998</v>
      </c>
      <c r="AR18" s="43">
        <f>AQ18/AP18</f>
        <v>0.96466666666666667</v>
      </c>
      <c r="AS18" s="97" t="s">
        <v>301</v>
      </c>
    </row>
    <row r="19" spans="1:45" s="31" customFormat="1" ht="120" x14ac:dyDescent="0.25">
      <c r="A19" s="52">
        <v>4</v>
      </c>
      <c r="B19" s="52" t="s">
        <v>52</v>
      </c>
      <c r="C19" s="52" t="s">
        <v>91</v>
      </c>
      <c r="D19" s="52" t="s">
        <v>109</v>
      </c>
      <c r="E19" s="4">
        <f t="shared" si="0"/>
        <v>4.4444444444444481E-2</v>
      </c>
      <c r="F19" s="52" t="s">
        <v>80</v>
      </c>
      <c r="G19" s="52" t="s">
        <v>110</v>
      </c>
      <c r="H19" s="52" t="s">
        <v>111</v>
      </c>
      <c r="I19" s="52"/>
      <c r="J19" s="52" t="s">
        <v>58</v>
      </c>
      <c r="K19" s="52" t="s">
        <v>59</v>
      </c>
      <c r="L19" s="6">
        <v>0.1</v>
      </c>
      <c r="M19" s="6">
        <v>0.25</v>
      </c>
      <c r="N19" s="6">
        <v>0.6</v>
      </c>
      <c r="O19" s="6">
        <v>0.95</v>
      </c>
      <c r="P19" s="6">
        <v>0.95</v>
      </c>
      <c r="Q19" s="52" t="s">
        <v>95</v>
      </c>
      <c r="R19" s="52" t="s">
        <v>96</v>
      </c>
      <c r="S19" s="52" t="s">
        <v>97</v>
      </c>
      <c r="T19" s="52" t="s">
        <v>63</v>
      </c>
      <c r="U19" s="52" t="s">
        <v>112</v>
      </c>
      <c r="V19" s="34">
        <f t="shared" si="3"/>
        <v>0.1</v>
      </c>
      <c r="W19" s="101">
        <v>0.25459999999999999</v>
      </c>
      <c r="X19" s="101">
        <v>1</v>
      </c>
      <c r="Y19" s="94" t="s">
        <v>113</v>
      </c>
      <c r="Z19" s="94" t="s">
        <v>100</v>
      </c>
      <c r="AA19" s="27">
        <f t="shared" si="4"/>
        <v>0.25</v>
      </c>
      <c r="AB19" s="92">
        <v>0.35949999999999999</v>
      </c>
      <c r="AC19" s="93">
        <f t="shared" si="5"/>
        <v>1</v>
      </c>
      <c r="AD19" s="79" t="s">
        <v>114</v>
      </c>
      <c r="AE19" s="79" t="s">
        <v>115</v>
      </c>
      <c r="AF19" s="27">
        <f t="shared" si="6"/>
        <v>0.6</v>
      </c>
      <c r="AG19" s="140">
        <v>0.57110000000000005</v>
      </c>
      <c r="AH19" s="93">
        <f t="shared" si="7"/>
        <v>0.95183333333333342</v>
      </c>
      <c r="AI19" s="52" t="s">
        <v>302</v>
      </c>
      <c r="AJ19" s="109" t="s">
        <v>300</v>
      </c>
      <c r="AK19" s="27">
        <f t="shared" si="1"/>
        <v>0.95</v>
      </c>
      <c r="AL19" s="95"/>
      <c r="AM19" s="93">
        <f t="shared" si="8"/>
        <v>0</v>
      </c>
      <c r="AN19" s="52"/>
      <c r="AO19" s="52"/>
      <c r="AP19" s="34">
        <f t="shared" si="2"/>
        <v>0.95</v>
      </c>
      <c r="AQ19" s="92">
        <v>0.57110000000000005</v>
      </c>
      <c r="AR19" s="43">
        <f t="shared" ref="AR19:AR31" si="9">AQ19/AP19</f>
        <v>0.60115789473684222</v>
      </c>
      <c r="AS19" s="94" t="s">
        <v>303</v>
      </c>
    </row>
    <row r="20" spans="1:45" s="31" customFormat="1" ht="75" x14ac:dyDescent="0.25">
      <c r="A20" s="52">
        <v>4</v>
      </c>
      <c r="B20" s="52" t="s">
        <v>52</v>
      </c>
      <c r="C20" s="52" t="s">
        <v>91</v>
      </c>
      <c r="D20" s="52" t="s">
        <v>116</v>
      </c>
      <c r="E20" s="4">
        <f t="shared" si="0"/>
        <v>4.4444444444444481E-2</v>
      </c>
      <c r="F20" s="52" t="s">
        <v>55</v>
      </c>
      <c r="G20" s="52" t="s">
        <v>117</v>
      </c>
      <c r="H20" s="52" t="s">
        <v>118</v>
      </c>
      <c r="I20" s="52"/>
      <c r="J20" s="52" t="s">
        <v>58</v>
      </c>
      <c r="K20" s="52" t="s">
        <v>59</v>
      </c>
      <c r="L20" s="6">
        <v>0.03</v>
      </c>
      <c r="M20" s="6">
        <v>0.08</v>
      </c>
      <c r="N20" s="6">
        <v>0.19</v>
      </c>
      <c r="O20" s="6">
        <v>0.4</v>
      </c>
      <c r="P20" s="6">
        <v>0.4</v>
      </c>
      <c r="Q20" s="52" t="s">
        <v>95</v>
      </c>
      <c r="R20" s="52" t="s">
        <v>96</v>
      </c>
      <c r="S20" s="52" t="s">
        <v>97</v>
      </c>
      <c r="T20" s="52" t="s">
        <v>63</v>
      </c>
      <c r="U20" s="52" t="s">
        <v>112</v>
      </c>
      <c r="V20" s="34">
        <f t="shared" si="3"/>
        <v>0.03</v>
      </c>
      <c r="W20" s="101">
        <v>0.14000000000000001</v>
      </c>
      <c r="X20" s="101">
        <v>1</v>
      </c>
      <c r="Y20" s="94" t="s">
        <v>119</v>
      </c>
      <c r="Z20" s="94" t="s">
        <v>100</v>
      </c>
      <c r="AA20" s="27">
        <f t="shared" si="4"/>
        <v>0.08</v>
      </c>
      <c r="AB20" s="92">
        <v>0.21479999999999999</v>
      </c>
      <c r="AC20" s="93">
        <f t="shared" si="5"/>
        <v>1</v>
      </c>
      <c r="AD20" s="94" t="s">
        <v>120</v>
      </c>
      <c r="AE20" s="94" t="s">
        <v>121</v>
      </c>
      <c r="AF20" s="27">
        <f t="shared" si="6"/>
        <v>0.19</v>
      </c>
      <c r="AG20" s="92">
        <v>0.36890000000000001</v>
      </c>
      <c r="AH20" s="93">
        <f t="shared" si="7"/>
        <v>1</v>
      </c>
      <c r="AI20" s="52" t="s">
        <v>304</v>
      </c>
      <c r="AJ20" s="109" t="s">
        <v>300</v>
      </c>
      <c r="AK20" s="27">
        <f t="shared" si="1"/>
        <v>0.4</v>
      </c>
      <c r="AL20" s="95"/>
      <c r="AM20" s="93">
        <f t="shared" si="8"/>
        <v>0</v>
      </c>
      <c r="AN20" s="52"/>
      <c r="AO20" s="52"/>
      <c r="AP20" s="34">
        <f t="shared" si="2"/>
        <v>0.4</v>
      </c>
      <c r="AQ20" s="43">
        <v>0.36890000000000001</v>
      </c>
      <c r="AR20" s="43">
        <f t="shared" si="9"/>
        <v>0.92225000000000001</v>
      </c>
      <c r="AS20" s="94" t="s">
        <v>305</v>
      </c>
    </row>
    <row r="21" spans="1:45" s="31" customFormat="1" ht="210" x14ac:dyDescent="0.25">
      <c r="A21" s="52">
        <v>4</v>
      </c>
      <c r="B21" s="52" t="s">
        <v>52</v>
      </c>
      <c r="C21" s="52" t="s">
        <v>91</v>
      </c>
      <c r="D21" s="52" t="s">
        <v>122</v>
      </c>
      <c r="E21" s="4">
        <f t="shared" si="0"/>
        <v>4.4444444444444481E-2</v>
      </c>
      <c r="F21" s="52" t="s">
        <v>80</v>
      </c>
      <c r="G21" s="52" t="s">
        <v>123</v>
      </c>
      <c r="H21" s="52" t="s">
        <v>124</v>
      </c>
      <c r="I21" s="52"/>
      <c r="J21" s="52" t="s">
        <v>74</v>
      </c>
      <c r="K21" s="52" t="s">
        <v>59</v>
      </c>
      <c r="L21" s="6">
        <v>0.95</v>
      </c>
      <c r="M21" s="6">
        <v>0.95</v>
      </c>
      <c r="N21" s="6">
        <v>0.95</v>
      </c>
      <c r="O21" s="6">
        <v>0.95</v>
      </c>
      <c r="P21" s="6">
        <v>0.95</v>
      </c>
      <c r="Q21" s="52" t="s">
        <v>95</v>
      </c>
      <c r="R21" s="52" t="s">
        <v>96</v>
      </c>
      <c r="S21" s="52" t="s">
        <v>125</v>
      </c>
      <c r="T21" s="52" t="s">
        <v>63</v>
      </c>
      <c r="U21" s="8" t="s">
        <v>126</v>
      </c>
      <c r="V21" s="34">
        <f t="shared" si="3"/>
        <v>0.95</v>
      </c>
      <c r="W21" s="100">
        <v>0.42699999999999999</v>
      </c>
      <c r="X21" s="100">
        <f>W21/V21</f>
        <v>0.4494736842105263</v>
      </c>
      <c r="Y21" s="94" t="s">
        <v>127</v>
      </c>
      <c r="Z21" s="94" t="s">
        <v>128</v>
      </c>
      <c r="AA21" s="27">
        <f t="shared" si="4"/>
        <v>0.95</v>
      </c>
      <c r="AB21" s="92">
        <v>0.93969999999999998</v>
      </c>
      <c r="AC21" s="93">
        <f t="shared" si="5"/>
        <v>0.98915789473684212</v>
      </c>
      <c r="AD21" s="94" t="s">
        <v>129</v>
      </c>
      <c r="AE21" s="94" t="s">
        <v>121</v>
      </c>
      <c r="AF21" s="27">
        <f t="shared" si="6"/>
        <v>0.95</v>
      </c>
      <c r="AG21" s="92">
        <v>0.95</v>
      </c>
      <c r="AH21" s="93">
        <f t="shared" si="7"/>
        <v>1</v>
      </c>
      <c r="AI21" s="52" t="s">
        <v>307</v>
      </c>
      <c r="AJ21" s="52" t="s">
        <v>308</v>
      </c>
      <c r="AK21" s="27">
        <f t="shared" si="1"/>
        <v>0.95</v>
      </c>
      <c r="AL21" s="95"/>
      <c r="AM21" s="93">
        <f t="shared" si="8"/>
        <v>0</v>
      </c>
      <c r="AN21" s="52"/>
      <c r="AO21" s="52"/>
      <c r="AP21" s="34">
        <f t="shared" si="2"/>
        <v>0.95</v>
      </c>
      <c r="AQ21" s="43">
        <f>(42.7%*25%)+(93.97%*25%)+(94.85%*25%)</f>
        <v>0.57879999999999998</v>
      </c>
      <c r="AR21" s="43">
        <f t="shared" si="9"/>
        <v>0.60926315789473684</v>
      </c>
      <c r="AS21" s="94" t="s">
        <v>306</v>
      </c>
    </row>
    <row r="22" spans="1:45" s="31" customFormat="1" ht="111.75" customHeight="1" x14ac:dyDescent="0.25">
      <c r="A22" s="52">
        <v>4</v>
      </c>
      <c r="B22" s="52" t="s">
        <v>52</v>
      </c>
      <c r="C22" s="52" t="s">
        <v>91</v>
      </c>
      <c r="D22" s="52" t="s">
        <v>130</v>
      </c>
      <c r="E22" s="4">
        <f t="shared" si="0"/>
        <v>4.4444444444444481E-2</v>
      </c>
      <c r="F22" s="52" t="s">
        <v>55</v>
      </c>
      <c r="G22" s="52" t="s">
        <v>131</v>
      </c>
      <c r="H22" s="52" t="s">
        <v>132</v>
      </c>
      <c r="I22" s="52"/>
      <c r="J22" s="52" t="s">
        <v>74</v>
      </c>
      <c r="K22" s="52" t="s">
        <v>59</v>
      </c>
      <c r="L22" s="6">
        <v>1</v>
      </c>
      <c r="M22" s="6">
        <v>1</v>
      </c>
      <c r="N22" s="6">
        <v>1</v>
      </c>
      <c r="O22" s="6">
        <v>1</v>
      </c>
      <c r="P22" s="6">
        <v>1</v>
      </c>
      <c r="Q22" s="52" t="s">
        <v>95</v>
      </c>
      <c r="R22" s="8" t="s">
        <v>96</v>
      </c>
      <c r="S22" s="8" t="s">
        <v>133</v>
      </c>
      <c r="T22" s="8" t="s">
        <v>63</v>
      </c>
      <c r="U22" s="8" t="s">
        <v>134</v>
      </c>
      <c r="V22" s="34">
        <f t="shared" si="3"/>
        <v>1</v>
      </c>
      <c r="W22" s="100">
        <v>0.314</v>
      </c>
      <c r="X22" s="100">
        <f>W22/V22</f>
        <v>0.314</v>
      </c>
      <c r="Y22" s="94" t="s">
        <v>135</v>
      </c>
      <c r="Z22" s="94" t="s">
        <v>136</v>
      </c>
      <c r="AA22" s="27">
        <f t="shared" si="4"/>
        <v>1</v>
      </c>
      <c r="AB22" s="95">
        <v>1</v>
      </c>
      <c r="AC22" s="93">
        <f t="shared" si="5"/>
        <v>1</v>
      </c>
      <c r="AD22" s="94" t="s">
        <v>137</v>
      </c>
      <c r="AE22" s="94" t="s">
        <v>121</v>
      </c>
      <c r="AF22" s="27">
        <f t="shared" si="6"/>
        <v>1</v>
      </c>
      <c r="AG22" s="140">
        <v>0.89670000000000005</v>
      </c>
      <c r="AH22" s="93">
        <f>IF(AG22/AF22&gt;100%,100%,AG22/AF22)</f>
        <v>0.89670000000000005</v>
      </c>
      <c r="AI22" s="31" t="s">
        <v>138</v>
      </c>
      <c r="AJ22" s="52" t="s">
        <v>139</v>
      </c>
      <c r="AK22" s="27">
        <f t="shared" si="1"/>
        <v>1</v>
      </c>
      <c r="AL22" s="95"/>
      <c r="AM22" s="93">
        <f t="shared" si="8"/>
        <v>0</v>
      </c>
      <c r="AN22" s="52"/>
      <c r="AO22" s="52"/>
      <c r="AP22" s="34">
        <f t="shared" si="2"/>
        <v>1</v>
      </c>
      <c r="AQ22" s="43">
        <f>(31.4%*25%)+(100%*25%)+(89.67%*25%)</f>
        <v>0.55267500000000003</v>
      </c>
      <c r="AR22" s="43">
        <f t="shared" si="9"/>
        <v>0.55267500000000003</v>
      </c>
      <c r="AS22" s="94" t="s">
        <v>138</v>
      </c>
    </row>
    <row r="23" spans="1:45" s="31" customFormat="1" ht="150" x14ac:dyDescent="0.25">
      <c r="A23" s="52">
        <v>4</v>
      </c>
      <c r="B23" s="52" t="s">
        <v>52</v>
      </c>
      <c r="C23" s="52" t="s">
        <v>91</v>
      </c>
      <c r="D23" s="52" t="s">
        <v>140</v>
      </c>
      <c r="E23" s="4">
        <f t="shared" si="0"/>
        <v>4.4444444444444481E-2</v>
      </c>
      <c r="F23" s="52" t="s">
        <v>55</v>
      </c>
      <c r="G23" s="52" t="s">
        <v>141</v>
      </c>
      <c r="H23" s="52" t="s">
        <v>142</v>
      </c>
      <c r="I23" s="52"/>
      <c r="J23" s="52" t="s">
        <v>74</v>
      </c>
      <c r="K23" s="52" t="s">
        <v>59</v>
      </c>
      <c r="L23" s="6">
        <v>0.95</v>
      </c>
      <c r="M23" s="6">
        <v>0.95</v>
      </c>
      <c r="N23" s="6">
        <v>0.95</v>
      </c>
      <c r="O23" s="6">
        <v>0.95</v>
      </c>
      <c r="P23" s="6">
        <v>0.95</v>
      </c>
      <c r="Q23" s="52" t="s">
        <v>95</v>
      </c>
      <c r="R23" s="52" t="s">
        <v>143</v>
      </c>
      <c r="S23" s="52" t="s">
        <v>144</v>
      </c>
      <c r="T23" s="52" t="s">
        <v>63</v>
      </c>
      <c r="U23" s="52" t="s">
        <v>144</v>
      </c>
      <c r="V23" s="34">
        <f t="shared" si="3"/>
        <v>0.95</v>
      </c>
      <c r="W23" s="101">
        <v>0.4</v>
      </c>
      <c r="X23" s="100">
        <f>W23/V23</f>
        <v>0.4210526315789474</v>
      </c>
      <c r="Y23" s="94" t="s">
        <v>145</v>
      </c>
      <c r="Z23" s="94" t="s">
        <v>136</v>
      </c>
      <c r="AA23" s="27">
        <f t="shared" si="4"/>
        <v>0.95</v>
      </c>
      <c r="AB23" s="95">
        <v>0.73</v>
      </c>
      <c r="AC23" s="93">
        <f t="shared" si="5"/>
        <v>0.768421052631579</v>
      </c>
      <c r="AD23" s="79" t="s">
        <v>146</v>
      </c>
      <c r="AE23" s="79" t="s">
        <v>147</v>
      </c>
      <c r="AF23" s="27">
        <f t="shared" si="6"/>
        <v>0.95</v>
      </c>
      <c r="AG23" s="95">
        <v>1</v>
      </c>
      <c r="AH23" s="93">
        <f t="shared" si="7"/>
        <v>1</v>
      </c>
      <c r="AI23" s="52" t="s">
        <v>148</v>
      </c>
      <c r="AJ23" s="52" t="s">
        <v>149</v>
      </c>
      <c r="AK23" s="27">
        <f t="shared" si="1"/>
        <v>0.95</v>
      </c>
      <c r="AL23" s="95"/>
      <c r="AM23" s="93">
        <f t="shared" si="8"/>
        <v>0</v>
      </c>
      <c r="AN23" s="52"/>
      <c r="AO23" s="52"/>
      <c r="AP23" s="34">
        <f t="shared" si="2"/>
        <v>0.95</v>
      </c>
      <c r="AQ23" s="34">
        <f>(40%*25%)+(73%*25%)+(100%*25%)</f>
        <v>0.53249999999999997</v>
      </c>
      <c r="AR23" s="43">
        <f>AQ23/AP23</f>
        <v>0.56052631578947365</v>
      </c>
      <c r="AS23" s="79" t="s">
        <v>309</v>
      </c>
    </row>
    <row r="24" spans="1:45" s="31" customFormat="1" ht="93" customHeight="1" x14ac:dyDescent="0.25">
      <c r="A24" s="52">
        <v>4</v>
      </c>
      <c r="B24" s="52" t="s">
        <v>52</v>
      </c>
      <c r="C24" s="52" t="s">
        <v>150</v>
      </c>
      <c r="D24" s="52" t="s">
        <v>151</v>
      </c>
      <c r="E24" s="4">
        <f t="shared" si="0"/>
        <v>4.4444444444444481E-2</v>
      </c>
      <c r="F24" s="52" t="s">
        <v>80</v>
      </c>
      <c r="G24" s="52" t="s">
        <v>152</v>
      </c>
      <c r="H24" s="52" t="s">
        <v>153</v>
      </c>
      <c r="I24" s="52"/>
      <c r="J24" s="52" t="s">
        <v>154</v>
      </c>
      <c r="K24" s="52" t="s">
        <v>155</v>
      </c>
      <c r="L24" s="9">
        <v>1920</v>
      </c>
      <c r="M24" s="9">
        <v>1920</v>
      </c>
      <c r="N24" s="9">
        <v>1920</v>
      </c>
      <c r="O24" s="9">
        <v>1920</v>
      </c>
      <c r="P24" s="10">
        <f>SUM(L24:O24)</f>
        <v>7680</v>
      </c>
      <c r="Q24" s="52" t="s">
        <v>95</v>
      </c>
      <c r="R24" s="52" t="s">
        <v>156</v>
      </c>
      <c r="S24" s="52" t="s">
        <v>157</v>
      </c>
      <c r="T24" s="52" t="s">
        <v>63</v>
      </c>
      <c r="U24" s="52" t="s">
        <v>157</v>
      </c>
      <c r="V24" s="35">
        <f t="shared" si="3"/>
        <v>1920</v>
      </c>
      <c r="W24" s="35">
        <v>1529</v>
      </c>
      <c r="X24" s="101">
        <f>W24/V24</f>
        <v>0.7963541666666667</v>
      </c>
      <c r="Y24" s="94" t="s">
        <v>158</v>
      </c>
      <c r="Z24" s="94" t="s">
        <v>159</v>
      </c>
      <c r="AA24" s="9">
        <f t="shared" si="4"/>
        <v>1920</v>
      </c>
      <c r="AB24" s="102">
        <v>1910</v>
      </c>
      <c r="AC24" s="93">
        <f t="shared" si="5"/>
        <v>0.99479166666666663</v>
      </c>
      <c r="AD24" s="94" t="s">
        <v>160</v>
      </c>
      <c r="AE24" s="103" t="s">
        <v>161</v>
      </c>
      <c r="AF24" s="9">
        <f t="shared" si="6"/>
        <v>1920</v>
      </c>
      <c r="AG24" s="102">
        <v>2374</v>
      </c>
      <c r="AH24" s="93">
        <f t="shared" si="7"/>
        <v>1</v>
      </c>
      <c r="AI24" s="52" t="s">
        <v>162</v>
      </c>
      <c r="AJ24" s="52" t="s">
        <v>163</v>
      </c>
      <c r="AK24" s="32">
        <f t="shared" si="1"/>
        <v>1920</v>
      </c>
      <c r="AL24" s="102"/>
      <c r="AM24" s="93">
        <f t="shared" si="8"/>
        <v>0</v>
      </c>
      <c r="AN24" s="52"/>
      <c r="AO24" s="52"/>
      <c r="AP24" s="35">
        <f t="shared" si="2"/>
        <v>7680</v>
      </c>
      <c r="AQ24" s="41">
        <f>1529+1910+2374</f>
        <v>5813</v>
      </c>
      <c r="AR24" s="43">
        <f t="shared" si="9"/>
        <v>0.75690104166666672</v>
      </c>
      <c r="AS24" s="94" t="s">
        <v>310</v>
      </c>
    </row>
    <row r="25" spans="1:45" s="31" customFormat="1" ht="135" x14ac:dyDescent="0.25">
      <c r="A25" s="52">
        <v>4</v>
      </c>
      <c r="B25" s="52" t="s">
        <v>52</v>
      </c>
      <c r="C25" s="52" t="s">
        <v>150</v>
      </c>
      <c r="D25" s="52" t="s">
        <v>164</v>
      </c>
      <c r="E25" s="4">
        <f t="shared" si="0"/>
        <v>4.4444444444444481E-2</v>
      </c>
      <c r="F25" s="52" t="s">
        <v>55</v>
      </c>
      <c r="G25" s="52" t="s">
        <v>165</v>
      </c>
      <c r="H25" s="52" t="s">
        <v>166</v>
      </c>
      <c r="I25" s="52"/>
      <c r="J25" s="52" t="s">
        <v>154</v>
      </c>
      <c r="K25" s="52" t="s">
        <v>167</v>
      </c>
      <c r="L25" s="9">
        <v>960</v>
      </c>
      <c r="M25" s="9">
        <v>960</v>
      </c>
      <c r="N25" s="9">
        <v>960</v>
      </c>
      <c r="O25" s="9">
        <v>960</v>
      </c>
      <c r="P25" s="10">
        <f>SUM(L25:O25)</f>
        <v>3840</v>
      </c>
      <c r="Q25" s="52" t="s">
        <v>95</v>
      </c>
      <c r="R25" s="52" t="s">
        <v>167</v>
      </c>
      <c r="S25" s="52" t="s">
        <v>157</v>
      </c>
      <c r="T25" s="52" t="s">
        <v>63</v>
      </c>
      <c r="U25" s="52" t="s">
        <v>157</v>
      </c>
      <c r="V25" s="35">
        <f t="shared" si="3"/>
        <v>960</v>
      </c>
      <c r="W25" s="35">
        <v>1319</v>
      </c>
      <c r="X25" s="101">
        <v>1</v>
      </c>
      <c r="Y25" s="94" t="s">
        <v>168</v>
      </c>
      <c r="Z25" s="94" t="s">
        <v>169</v>
      </c>
      <c r="AA25" s="9">
        <f t="shared" si="4"/>
        <v>960</v>
      </c>
      <c r="AB25" s="102">
        <v>1062</v>
      </c>
      <c r="AC25" s="93">
        <f t="shared" si="5"/>
        <v>1</v>
      </c>
      <c r="AD25" s="94" t="s">
        <v>170</v>
      </c>
      <c r="AE25" s="94" t="s">
        <v>161</v>
      </c>
      <c r="AF25" s="9">
        <f t="shared" si="6"/>
        <v>960</v>
      </c>
      <c r="AG25" s="102">
        <v>1431</v>
      </c>
      <c r="AH25" s="93">
        <f t="shared" si="7"/>
        <v>1</v>
      </c>
      <c r="AI25" s="52" t="s">
        <v>171</v>
      </c>
      <c r="AJ25" s="52" t="s">
        <v>172</v>
      </c>
      <c r="AK25" s="32">
        <f t="shared" si="1"/>
        <v>960</v>
      </c>
      <c r="AL25" s="102"/>
      <c r="AM25" s="93">
        <f t="shared" si="8"/>
        <v>0</v>
      </c>
      <c r="AN25" s="52"/>
      <c r="AO25" s="52"/>
      <c r="AP25" s="35">
        <f t="shared" si="2"/>
        <v>3840</v>
      </c>
      <c r="AQ25" s="41">
        <f>1319+1062+1431</f>
        <v>3812</v>
      </c>
      <c r="AR25" s="43">
        <f t="shared" si="9"/>
        <v>0.9927083333333333</v>
      </c>
      <c r="AS25" s="94" t="s">
        <v>311</v>
      </c>
    </row>
    <row r="26" spans="1:45" s="31" customFormat="1" ht="162.75" customHeight="1" x14ac:dyDescent="0.25">
      <c r="A26" s="52">
        <v>4</v>
      </c>
      <c r="B26" s="52" t="s">
        <v>52</v>
      </c>
      <c r="C26" s="52" t="s">
        <v>150</v>
      </c>
      <c r="D26" s="52" t="s">
        <v>173</v>
      </c>
      <c r="E26" s="4">
        <f t="shared" si="0"/>
        <v>4.4444444444444481E-2</v>
      </c>
      <c r="F26" s="52" t="s">
        <v>55</v>
      </c>
      <c r="G26" s="52" t="s">
        <v>174</v>
      </c>
      <c r="H26" s="52" t="s">
        <v>175</v>
      </c>
      <c r="I26" s="52"/>
      <c r="J26" s="52" t="s">
        <v>154</v>
      </c>
      <c r="K26" s="52" t="s">
        <v>176</v>
      </c>
      <c r="L26" s="11">
        <v>47</v>
      </c>
      <c r="M26" s="11">
        <v>68</v>
      </c>
      <c r="N26" s="11">
        <v>69</v>
      </c>
      <c r="O26" s="11">
        <v>50</v>
      </c>
      <c r="P26" s="10">
        <f t="shared" ref="P26:P31" si="10">SUM(L26:O26)</f>
        <v>234</v>
      </c>
      <c r="Q26" s="52" t="s">
        <v>95</v>
      </c>
      <c r="R26" s="52" t="s">
        <v>177</v>
      </c>
      <c r="S26" s="52" t="s">
        <v>178</v>
      </c>
      <c r="T26" s="52" t="s">
        <v>63</v>
      </c>
      <c r="U26" s="52" t="s">
        <v>178</v>
      </c>
      <c r="V26" s="35">
        <f t="shared" si="3"/>
        <v>47</v>
      </c>
      <c r="W26" s="102">
        <v>0</v>
      </c>
      <c r="X26" s="101">
        <v>0</v>
      </c>
      <c r="Y26" s="94" t="s">
        <v>179</v>
      </c>
      <c r="Z26" s="94" t="s">
        <v>180</v>
      </c>
      <c r="AA26" s="9">
        <f t="shared" si="4"/>
        <v>68</v>
      </c>
      <c r="AB26" s="102">
        <v>0</v>
      </c>
      <c r="AC26" s="93">
        <f t="shared" si="5"/>
        <v>0</v>
      </c>
      <c r="AD26" s="79" t="s">
        <v>181</v>
      </c>
      <c r="AE26" s="79" t="s">
        <v>182</v>
      </c>
      <c r="AF26" s="9">
        <f t="shared" si="6"/>
        <v>69</v>
      </c>
      <c r="AG26" s="102">
        <v>95</v>
      </c>
      <c r="AH26" s="93">
        <f>IF(AG26/AF26&gt;100%,100%,AG26/AF26)</f>
        <v>1</v>
      </c>
      <c r="AI26" s="52" t="s">
        <v>183</v>
      </c>
      <c r="AJ26" s="52" t="s">
        <v>184</v>
      </c>
      <c r="AK26" s="32">
        <f t="shared" si="1"/>
        <v>50</v>
      </c>
      <c r="AL26" s="102"/>
      <c r="AM26" s="93">
        <f t="shared" si="8"/>
        <v>0</v>
      </c>
      <c r="AN26" s="52"/>
      <c r="AO26" s="52"/>
      <c r="AP26" s="35">
        <f t="shared" si="2"/>
        <v>234</v>
      </c>
      <c r="AQ26" s="41">
        <v>95</v>
      </c>
      <c r="AR26" s="43">
        <f t="shared" si="9"/>
        <v>0.40598290598290598</v>
      </c>
      <c r="AS26" s="79" t="s">
        <v>312</v>
      </c>
    </row>
    <row r="27" spans="1:45" s="31" customFormat="1" ht="210" x14ac:dyDescent="0.25">
      <c r="A27" s="52">
        <v>4</v>
      </c>
      <c r="B27" s="52" t="s">
        <v>52</v>
      </c>
      <c r="C27" s="52" t="s">
        <v>150</v>
      </c>
      <c r="D27" s="52" t="s">
        <v>185</v>
      </c>
      <c r="E27" s="4">
        <f t="shared" si="0"/>
        <v>4.4444444444444481E-2</v>
      </c>
      <c r="F27" s="52" t="s">
        <v>80</v>
      </c>
      <c r="G27" s="52" t="s">
        <v>186</v>
      </c>
      <c r="H27" s="52" t="s">
        <v>187</v>
      </c>
      <c r="I27" s="52"/>
      <c r="J27" s="52" t="s">
        <v>154</v>
      </c>
      <c r="K27" s="52" t="s">
        <v>177</v>
      </c>
      <c r="L27" s="11">
        <v>36</v>
      </c>
      <c r="M27" s="11">
        <v>57</v>
      </c>
      <c r="N27" s="11">
        <v>57</v>
      </c>
      <c r="O27" s="11">
        <v>36</v>
      </c>
      <c r="P27" s="10">
        <f t="shared" si="10"/>
        <v>186</v>
      </c>
      <c r="Q27" s="52" t="s">
        <v>95</v>
      </c>
      <c r="R27" s="52" t="s">
        <v>177</v>
      </c>
      <c r="S27" s="52" t="s">
        <v>178</v>
      </c>
      <c r="T27" s="52" t="s">
        <v>63</v>
      </c>
      <c r="U27" s="52" t="s">
        <v>178</v>
      </c>
      <c r="V27" s="35">
        <f t="shared" si="3"/>
        <v>36</v>
      </c>
      <c r="W27" s="41">
        <v>4</v>
      </c>
      <c r="X27" s="104">
        <f>W27/V27</f>
        <v>0.1111111111111111</v>
      </c>
      <c r="Y27" s="94" t="s">
        <v>188</v>
      </c>
      <c r="Z27" s="94" t="s">
        <v>189</v>
      </c>
      <c r="AA27" s="9">
        <f t="shared" si="4"/>
        <v>57</v>
      </c>
      <c r="AB27" s="102">
        <v>36</v>
      </c>
      <c r="AC27" s="93">
        <f t="shared" si="5"/>
        <v>0.63157894736842102</v>
      </c>
      <c r="AD27" s="79" t="s">
        <v>190</v>
      </c>
      <c r="AE27" s="79" t="s">
        <v>191</v>
      </c>
      <c r="AF27" s="9">
        <f t="shared" si="6"/>
        <v>57</v>
      </c>
      <c r="AG27" s="102">
        <v>63</v>
      </c>
      <c r="AH27" s="93">
        <f t="shared" si="7"/>
        <v>1</v>
      </c>
      <c r="AI27" s="52" t="s">
        <v>192</v>
      </c>
      <c r="AJ27" s="52" t="s">
        <v>193</v>
      </c>
      <c r="AK27" s="32">
        <f t="shared" si="1"/>
        <v>36</v>
      </c>
      <c r="AL27" s="102"/>
      <c r="AM27" s="93">
        <f t="shared" si="8"/>
        <v>0</v>
      </c>
      <c r="AN27" s="52"/>
      <c r="AO27" s="52"/>
      <c r="AP27" s="35">
        <f t="shared" si="2"/>
        <v>186</v>
      </c>
      <c r="AQ27" s="41">
        <f>4+36+63</f>
        <v>103</v>
      </c>
      <c r="AR27" s="43">
        <f t="shared" si="9"/>
        <v>0.55376344086021501</v>
      </c>
      <c r="AS27" s="79" t="s">
        <v>313</v>
      </c>
    </row>
    <row r="28" spans="1:45" s="31" customFormat="1" ht="121.5" customHeight="1" x14ac:dyDescent="0.25">
      <c r="A28" s="52">
        <v>4</v>
      </c>
      <c r="B28" s="52" t="s">
        <v>52</v>
      </c>
      <c r="C28" s="52" t="s">
        <v>150</v>
      </c>
      <c r="D28" s="52" t="s">
        <v>194</v>
      </c>
      <c r="E28" s="4">
        <f t="shared" si="0"/>
        <v>4.4444444444444481E-2</v>
      </c>
      <c r="F28" s="52" t="s">
        <v>80</v>
      </c>
      <c r="G28" s="52" t="s">
        <v>195</v>
      </c>
      <c r="H28" s="52" t="s">
        <v>196</v>
      </c>
      <c r="I28" s="52"/>
      <c r="J28" s="52" t="s">
        <v>154</v>
      </c>
      <c r="K28" s="52" t="s">
        <v>197</v>
      </c>
      <c r="L28" s="11">
        <v>24</v>
      </c>
      <c r="M28" s="11">
        <v>30</v>
      </c>
      <c r="N28" s="11">
        <v>30</v>
      </c>
      <c r="O28" s="11">
        <v>28</v>
      </c>
      <c r="P28" s="10">
        <f t="shared" si="10"/>
        <v>112</v>
      </c>
      <c r="Q28" s="52" t="s">
        <v>95</v>
      </c>
      <c r="R28" s="52" t="s">
        <v>198</v>
      </c>
      <c r="S28" s="52" t="s">
        <v>199</v>
      </c>
      <c r="T28" s="52" t="s">
        <v>63</v>
      </c>
      <c r="U28" s="52" t="s">
        <v>198</v>
      </c>
      <c r="V28" s="35">
        <f t="shared" si="3"/>
        <v>24</v>
      </c>
      <c r="W28" s="105">
        <v>102</v>
      </c>
      <c r="X28" s="101">
        <v>1</v>
      </c>
      <c r="Y28" s="94" t="s">
        <v>200</v>
      </c>
      <c r="Z28" s="94" t="s">
        <v>189</v>
      </c>
      <c r="AA28" s="9">
        <f t="shared" si="4"/>
        <v>30</v>
      </c>
      <c r="AB28" s="102">
        <v>146</v>
      </c>
      <c r="AC28" s="93">
        <f t="shared" si="5"/>
        <v>1</v>
      </c>
      <c r="AD28" s="79" t="s">
        <v>201</v>
      </c>
      <c r="AE28" s="79" t="s">
        <v>202</v>
      </c>
      <c r="AF28" s="9">
        <f t="shared" si="6"/>
        <v>30</v>
      </c>
      <c r="AG28" s="102">
        <v>32</v>
      </c>
      <c r="AH28" s="93">
        <f t="shared" si="7"/>
        <v>1</v>
      </c>
      <c r="AI28" s="52" t="s">
        <v>203</v>
      </c>
      <c r="AJ28" s="52" t="s">
        <v>204</v>
      </c>
      <c r="AK28" s="32">
        <f t="shared" si="1"/>
        <v>28</v>
      </c>
      <c r="AL28" s="102"/>
      <c r="AM28" s="93">
        <f t="shared" si="8"/>
        <v>0</v>
      </c>
      <c r="AN28" s="52"/>
      <c r="AO28" s="52"/>
      <c r="AP28" s="35">
        <f t="shared" si="2"/>
        <v>112</v>
      </c>
      <c r="AQ28" s="41">
        <f>102+146+32</f>
        <v>280</v>
      </c>
      <c r="AR28" s="43">
        <f>IF(AQ28/AP28&gt;100%,100%,AQ28/AP28)</f>
        <v>1</v>
      </c>
      <c r="AS28" s="94" t="s">
        <v>314</v>
      </c>
    </row>
    <row r="29" spans="1:45" s="31" customFormat="1" ht="195" x14ac:dyDescent="0.25">
      <c r="A29" s="52">
        <v>4</v>
      </c>
      <c r="B29" s="52" t="s">
        <v>52</v>
      </c>
      <c r="C29" s="52" t="s">
        <v>150</v>
      </c>
      <c r="D29" s="52" t="s">
        <v>205</v>
      </c>
      <c r="E29" s="4">
        <f t="shared" si="0"/>
        <v>4.4444444444444481E-2</v>
      </c>
      <c r="F29" s="52" t="s">
        <v>80</v>
      </c>
      <c r="G29" s="52" t="s">
        <v>206</v>
      </c>
      <c r="H29" s="52" t="s">
        <v>207</v>
      </c>
      <c r="I29" s="52"/>
      <c r="J29" s="52" t="s">
        <v>154</v>
      </c>
      <c r="K29" s="52" t="s">
        <v>197</v>
      </c>
      <c r="L29" s="11">
        <v>26</v>
      </c>
      <c r="M29" s="11">
        <v>36</v>
      </c>
      <c r="N29" s="11">
        <v>36</v>
      </c>
      <c r="O29" s="11">
        <v>32</v>
      </c>
      <c r="P29" s="10">
        <f t="shared" si="10"/>
        <v>130</v>
      </c>
      <c r="Q29" s="52" t="s">
        <v>95</v>
      </c>
      <c r="R29" s="52" t="s">
        <v>198</v>
      </c>
      <c r="S29" s="52" t="s">
        <v>199</v>
      </c>
      <c r="T29" s="52" t="s">
        <v>63</v>
      </c>
      <c r="U29" s="52" t="s">
        <v>198</v>
      </c>
      <c r="V29" s="35">
        <f t="shared" si="3"/>
        <v>26</v>
      </c>
      <c r="W29" s="105">
        <v>71</v>
      </c>
      <c r="X29" s="101">
        <v>1</v>
      </c>
      <c r="Y29" s="94" t="s">
        <v>208</v>
      </c>
      <c r="Z29" s="94" t="s">
        <v>189</v>
      </c>
      <c r="AA29" s="9">
        <f t="shared" si="4"/>
        <v>36</v>
      </c>
      <c r="AB29" s="102">
        <v>105</v>
      </c>
      <c r="AC29" s="93">
        <f t="shared" si="5"/>
        <v>1</v>
      </c>
      <c r="AD29" s="79" t="s">
        <v>209</v>
      </c>
      <c r="AE29" s="79" t="s">
        <v>210</v>
      </c>
      <c r="AF29" s="9">
        <f t="shared" si="6"/>
        <v>36</v>
      </c>
      <c r="AG29" s="102">
        <v>47</v>
      </c>
      <c r="AH29" s="93">
        <f t="shared" si="7"/>
        <v>1</v>
      </c>
      <c r="AI29" s="52" t="s">
        <v>211</v>
      </c>
      <c r="AJ29" s="52" t="s">
        <v>212</v>
      </c>
      <c r="AK29" s="32">
        <f t="shared" si="1"/>
        <v>32</v>
      </c>
      <c r="AL29" s="102"/>
      <c r="AM29" s="93">
        <f t="shared" si="8"/>
        <v>0</v>
      </c>
      <c r="AN29" s="52"/>
      <c r="AO29" s="52"/>
      <c r="AP29" s="35">
        <f t="shared" si="2"/>
        <v>130</v>
      </c>
      <c r="AQ29" s="41">
        <f>71+105+47</f>
        <v>223</v>
      </c>
      <c r="AR29" s="43">
        <f>IF(AQ29/AP29&gt;100%,100%,AQ29/AP29)</f>
        <v>1</v>
      </c>
      <c r="AS29" s="94" t="s">
        <v>315</v>
      </c>
    </row>
    <row r="30" spans="1:45" s="31" customFormat="1" ht="210" x14ac:dyDescent="0.25">
      <c r="A30" s="52">
        <v>4</v>
      </c>
      <c r="B30" s="52" t="s">
        <v>52</v>
      </c>
      <c r="C30" s="52" t="s">
        <v>150</v>
      </c>
      <c r="D30" s="52" t="s">
        <v>213</v>
      </c>
      <c r="E30" s="4">
        <f t="shared" si="0"/>
        <v>4.4444444444444481E-2</v>
      </c>
      <c r="F30" s="52" t="s">
        <v>80</v>
      </c>
      <c r="G30" s="52" t="s">
        <v>214</v>
      </c>
      <c r="H30" s="52" t="s">
        <v>215</v>
      </c>
      <c r="I30" s="52"/>
      <c r="J30" s="52" t="s">
        <v>154</v>
      </c>
      <c r="K30" s="52" t="s">
        <v>197</v>
      </c>
      <c r="L30" s="11">
        <v>8</v>
      </c>
      <c r="M30" s="11">
        <v>10</v>
      </c>
      <c r="N30" s="11">
        <v>10</v>
      </c>
      <c r="O30" s="11">
        <v>8</v>
      </c>
      <c r="P30" s="10">
        <f t="shared" si="10"/>
        <v>36</v>
      </c>
      <c r="Q30" s="52" t="s">
        <v>95</v>
      </c>
      <c r="R30" s="52" t="s">
        <v>198</v>
      </c>
      <c r="S30" s="52" t="s">
        <v>199</v>
      </c>
      <c r="T30" s="52" t="s">
        <v>63</v>
      </c>
      <c r="U30" s="52" t="s">
        <v>198</v>
      </c>
      <c r="V30" s="35">
        <f t="shared" si="3"/>
        <v>8</v>
      </c>
      <c r="W30" s="105">
        <v>60</v>
      </c>
      <c r="X30" s="101">
        <v>1</v>
      </c>
      <c r="Y30" s="94" t="s">
        <v>216</v>
      </c>
      <c r="Z30" s="94" t="s">
        <v>189</v>
      </c>
      <c r="AA30" s="9">
        <f t="shared" si="4"/>
        <v>10</v>
      </c>
      <c r="AB30" s="102">
        <v>86</v>
      </c>
      <c r="AC30" s="93">
        <f t="shared" si="5"/>
        <v>1</v>
      </c>
      <c r="AD30" s="79" t="s">
        <v>217</v>
      </c>
      <c r="AE30" s="79" t="s">
        <v>218</v>
      </c>
      <c r="AF30" s="9">
        <f t="shared" si="6"/>
        <v>10</v>
      </c>
      <c r="AG30" s="102">
        <v>16</v>
      </c>
      <c r="AH30" s="93">
        <f t="shared" si="7"/>
        <v>1</v>
      </c>
      <c r="AI30" s="52" t="s">
        <v>219</v>
      </c>
      <c r="AJ30" s="52" t="s">
        <v>220</v>
      </c>
      <c r="AK30" s="32">
        <f t="shared" si="1"/>
        <v>8</v>
      </c>
      <c r="AL30" s="102"/>
      <c r="AM30" s="93">
        <f t="shared" si="8"/>
        <v>0</v>
      </c>
      <c r="AN30" s="52"/>
      <c r="AO30" s="52"/>
      <c r="AP30" s="35">
        <f t="shared" si="2"/>
        <v>36</v>
      </c>
      <c r="AQ30" s="41">
        <f>60+86+16</f>
        <v>162</v>
      </c>
      <c r="AR30" s="43">
        <f>IF(AQ30/AP30&gt;100%,100%,AQ30/AP30)</f>
        <v>1</v>
      </c>
      <c r="AS30" s="94" t="s">
        <v>316</v>
      </c>
    </row>
    <row r="31" spans="1:45" s="31" customFormat="1" ht="150" x14ac:dyDescent="0.25">
      <c r="A31" s="52">
        <v>4</v>
      </c>
      <c r="B31" s="52" t="s">
        <v>52</v>
      </c>
      <c r="C31" s="52" t="s">
        <v>150</v>
      </c>
      <c r="D31" s="52" t="s">
        <v>221</v>
      </c>
      <c r="E31" s="4">
        <f t="shared" si="0"/>
        <v>4.4444444444444481E-2</v>
      </c>
      <c r="F31" s="52" t="s">
        <v>80</v>
      </c>
      <c r="G31" s="52" t="s">
        <v>222</v>
      </c>
      <c r="H31" s="52" t="s">
        <v>223</v>
      </c>
      <c r="I31" s="52"/>
      <c r="J31" s="52" t="s">
        <v>154</v>
      </c>
      <c r="K31" s="52" t="s">
        <v>197</v>
      </c>
      <c r="L31" s="11">
        <v>9</v>
      </c>
      <c r="M31" s="11">
        <v>12</v>
      </c>
      <c r="N31" s="11">
        <v>12</v>
      </c>
      <c r="O31" s="11">
        <v>11</v>
      </c>
      <c r="P31" s="10">
        <f t="shared" si="10"/>
        <v>44</v>
      </c>
      <c r="Q31" s="52" t="s">
        <v>95</v>
      </c>
      <c r="R31" s="52" t="s">
        <v>198</v>
      </c>
      <c r="S31" s="52" t="s">
        <v>199</v>
      </c>
      <c r="T31" s="52" t="s">
        <v>63</v>
      </c>
      <c r="U31" s="52" t="s">
        <v>198</v>
      </c>
      <c r="V31" s="35">
        <f t="shared" si="3"/>
        <v>9</v>
      </c>
      <c r="W31" s="105">
        <v>15</v>
      </c>
      <c r="X31" s="101">
        <v>1</v>
      </c>
      <c r="Y31" s="94" t="s">
        <v>224</v>
      </c>
      <c r="Z31" s="94" t="s">
        <v>225</v>
      </c>
      <c r="AA31" s="9">
        <f t="shared" si="4"/>
        <v>12</v>
      </c>
      <c r="AB31" s="102">
        <v>12</v>
      </c>
      <c r="AC31" s="93">
        <f>IF(AB31/AA31&gt;100%,100%,AB31/AA31)</f>
        <v>1</v>
      </c>
      <c r="AD31" s="79" t="s">
        <v>226</v>
      </c>
      <c r="AE31" s="79" t="s">
        <v>227</v>
      </c>
      <c r="AF31" s="9">
        <f t="shared" si="6"/>
        <v>12</v>
      </c>
      <c r="AG31" s="102">
        <v>14</v>
      </c>
      <c r="AH31" s="93">
        <f>IF(AG31/AF31&gt;100%,100%,AG31/AF31)</f>
        <v>1</v>
      </c>
      <c r="AI31" s="52" t="s">
        <v>228</v>
      </c>
      <c r="AJ31" s="52" t="s">
        <v>229</v>
      </c>
      <c r="AK31" s="32">
        <f t="shared" si="1"/>
        <v>11</v>
      </c>
      <c r="AL31" s="102"/>
      <c r="AM31" s="93">
        <f>IF(AL31/AK31&gt;100%,100%,AL31/AK31)</f>
        <v>0</v>
      </c>
      <c r="AN31" s="52"/>
      <c r="AO31" s="52"/>
      <c r="AP31" s="35">
        <f t="shared" si="2"/>
        <v>44</v>
      </c>
      <c r="AQ31" s="41">
        <f>15+12+14</f>
        <v>41</v>
      </c>
      <c r="AR31" s="43">
        <f t="shared" si="9"/>
        <v>0.93181818181818177</v>
      </c>
      <c r="AS31" s="94" t="s">
        <v>317</v>
      </c>
    </row>
    <row r="32" spans="1:45" s="28" customFormat="1" ht="15.75" x14ac:dyDescent="0.25">
      <c r="A32" s="12"/>
      <c r="B32" s="12"/>
      <c r="C32" s="12"/>
      <c r="D32" s="13" t="s">
        <v>230</v>
      </c>
      <c r="E32" s="14">
        <f>SUM(E14:E31)</f>
        <v>0.80000000000000093</v>
      </c>
      <c r="F32" s="12"/>
      <c r="G32" s="12"/>
      <c r="H32" s="12"/>
      <c r="I32" s="12"/>
      <c r="J32" s="12"/>
      <c r="K32" s="12"/>
      <c r="L32" s="14"/>
      <c r="M32" s="14"/>
      <c r="N32" s="14"/>
      <c r="O32" s="14"/>
      <c r="P32" s="14"/>
      <c r="Q32" s="12"/>
      <c r="R32" s="12"/>
      <c r="S32" s="12"/>
      <c r="T32" s="12"/>
      <c r="U32" s="12"/>
      <c r="V32" s="63"/>
      <c r="W32" s="63"/>
      <c r="X32" s="63">
        <f>AVERAGE(X14:X31)*80%</f>
        <v>0.60343291301169599</v>
      </c>
      <c r="Y32" s="64"/>
      <c r="Z32" s="64"/>
      <c r="AA32" s="65"/>
      <c r="AB32" s="65"/>
      <c r="AC32" s="88">
        <f>AVERAGE(AC14:AC31)*80%</f>
        <v>0.69597409700722401</v>
      </c>
      <c r="AD32" s="81"/>
      <c r="AE32" s="81"/>
      <c r="AF32" s="65"/>
      <c r="AG32" s="65"/>
      <c r="AH32" s="88">
        <f>AVERAGE(AH14:AH31)*80%</f>
        <v>0.77124862745098044</v>
      </c>
      <c r="AI32" s="66"/>
      <c r="AJ32" s="66"/>
      <c r="AK32" s="67"/>
      <c r="AL32" s="65"/>
      <c r="AM32" s="63">
        <f>AVERAGE(AM14:AM31)*80%</f>
        <v>0</v>
      </c>
      <c r="AN32" s="66"/>
      <c r="AO32" s="66"/>
      <c r="AP32" s="68"/>
      <c r="AQ32" s="68"/>
      <c r="AR32" s="88">
        <f>AVERAGE(AR14:AR31)*80%</f>
        <v>0.53738724172217878</v>
      </c>
      <c r="AS32" s="81"/>
    </row>
    <row r="33" spans="1:45" ht="223.5" customHeight="1" x14ac:dyDescent="0.25">
      <c r="A33" s="15">
        <v>7</v>
      </c>
      <c r="B33" s="15" t="s">
        <v>231</v>
      </c>
      <c r="C33" s="15" t="s">
        <v>232</v>
      </c>
      <c r="D33" s="15" t="s">
        <v>233</v>
      </c>
      <c r="E33" s="16">
        <v>0.04</v>
      </c>
      <c r="F33" s="15" t="s">
        <v>234</v>
      </c>
      <c r="G33" s="15" t="s">
        <v>235</v>
      </c>
      <c r="H33" s="15" t="s">
        <v>236</v>
      </c>
      <c r="I33" s="15"/>
      <c r="J33" s="17" t="s">
        <v>237</v>
      </c>
      <c r="K33" s="17" t="s">
        <v>238</v>
      </c>
      <c r="L33" s="18">
        <v>0</v>
      </c>
      <c r="M33" s="18">
        <v>0.8</v>
      </c>
      <c r="N33" s="18">
        <v>0</v>
      </c>
      <c r="O33" s="18">
        <v>0.8</v>
      </c>
      <c r="P33" s="18">
        <v>0.8</v>
      </c>
      <c r="Q33" s="15" t="s">
        <v>95</v>
      </c>
      <c r="R33" s="15" t="s">
        <v>239</v>
      </c>
      <c r="S33" s="15" t="s">
        <v>240</v>
      </c>
      <c r="T33" s="15" t="s">
        <v>241</v>
      </c>
      <c r="U33" s="15" t="s">
        <v>242</v>
      </c>
      <c r="V33" s="36" t="s">
        <v>65</v>
      </c>
      <c r="W33" s="36" t="s">
        <v>65</v>
      </c>
      <c r="X33" s="36" t="s">
        <v>65</v>
      </c>
      <c r="Y33" s="106" t="s">
        <v>66</v>
      </c>
      <c r="Z33" s="84" t="s">
        <v>65</v>
      </c>
      <c r="AA33" s="36">
        <f t="shared" si="4"/>
        <v>0.8</v>
      </c>
      <c r="AB33" s="36">
        <v>0.627</v>
      </c>
      <c r="AC33" s="48">
        <f>IF(AB33/AA33&gt;100%,100%,AB33/AA33)</f>
        <v>0.78374999999999995</v>
      </c>
      <c r="AD33" s="49" t="s">
        <v>243</v>
      </c>
      <c r="AE33" s="49" t="s">
        <v>244</v>
      </c>
      <c r="AF33" s="42" t="s">
        <v>65</v>
      </c>
      <c r="AG33" s="15" t="s">
        <v>65</v>
      </c>
      <c r="AH33" s="15" t="s">
        <v>65</v>
      </c>
      <c r="AI33" s="49" t="s">
        <v>245</v>
      </c>
      <c r="AJ33" s="49" t="s">
        <v>245</v>
      </c>
      <c r="AK33" s="42">
        <f t="shared" si="1"/>
        <v>0.8</v>
      </c>
      <c r="AL33" s="15"/>
      <c r="AM33" s="15"/>
      <c r="AN33" s="45"/>
      <c r="AO33" s="45"/>
      <c r="AP33" s="42">
        <f t="shared" si="2"/>
        <v>0.8</v>
      </c>
      <c r="AQ33" s="42">
        <f>63%*50%</f>
        <v>0.315</v>
      </c>
      <c r="AR33" s="44">
        <f t="shared" ref="AR33:AR37" si="11">IF(AQ33/AP33&gt;100%,100%,AQ33/AP33)</f>
        <v>0.39374999999999999</v>
      </c>
      <c r="AS33" s="49" t="s">
        <v>243</v>
      </c>
    </row>
    <row r="34" spans="1:45" ht="105" x14ac:dyDescent="0.25">
      <c r="A34" s="15">
        <v>7</v>
      </c>
      <c r="B34" s="15" t="s">
        <v>231</v>
      </c>
      <c r="C34" s="15" t="s">
        <v>232</v>
      </c>
      <c r="D34" s="15" t="s">
        <v>246</v>
      </c>
      <c r="E34" s="16">
        <v>0.04</v>
      </c>
      <c r="F34" s="15" t="s">
        <v>234</v>
      </c>
      <c r="G34" s="15" t="s">
        <v>247</v>
      </c>
      <c r="H34" s="15" t="s">
        <v>248</v>
      </c>
      <c r="I34" s="15"/>
      <c r="J34" s="17" t="s">
        <v>237</v>
      </c>
      <c r="K34" s="17" t="s">
        <v>249</v>
      </c>
      <c r="L34" s="19">
        <v>1</v>
      </c>
      <c r="M34" s="19">
        <v>1</v>
      </c>
      <c r="N34" s="19">
        <v>1</v>
      </c>
      <c r="O34" s="19">
        <v>1</v>
      </c>
      <c r="P34" s="19">
        <v>1</v>
      </c>
      <c r="Q34" s="15" t="s">
        <v>95</v>
      </c>
      <c r="R34" s="15" t="s">
        <v>250</v>
      </c>
      <c r="S34" s="15" t="s">
        <v>251</v>
      </c>
      <c r="T34" s="15" t="s">
        <v>252</v>
      </c>
      <c r="U34" s="15" t="s">
        <v>253</v>
      </c>
      <c r="V34" s="36">
        <f>L34</f>
        <v>1</v>
      </c>
      <c r="W34" s="42">
        <v>0.5</v>
      </c>
      <c r="X34" s="42">
        <v>0.5</v>
      </c>
      <c r="Y34" s="106" t="s">
        <v>254</v>
      </c>
      <c r="Z34" s="49" t="s">
        <v>255</v>
      </c>
      <c r="AA34" s="36">
        <f t="shared" si="4"/>
        <v>1</v>
      </c>
      <c r="AB34" s="36">
        <v>0.55000000000000004</v>
      </c>
      <c r="AC34" s="48">
        <f>IF(AB34/AA34&gt;100%,100%,AB34/AA34)</f>
        <v>0.55000000000000004</v>
      </c>
      <c r="AD34" s="49" t="s">
        <v>256</v>
      </c>
      <c r="AE34" s="49" t="s">
        <v>257</v>
      </c>
      <c r="AF34" s="42">
        <f t="shared" si="6"/>
        <v>1</v>
      </c>
      <c r="AG34" s="138">
        <v>0.66669999999999996</v>
      </c>
      <c r="AH34" s="44">
        <f>IF(AG34/AF34&gt;100%,100%,AG34/AF34)</f>
        <v>0.66669999999999996</v>
      </c>
      <c r="AI34" s="49" t="s">
        <v>318</v>
      </c>
      <c r="AJ34" s="49" t="s">
        <v>255</v>
      </c>
      <c r="AK34" s="42">
        <f t="shared" si="1"/>
        <v>1</v>
      </c>
      <c r="AL34" s="15"/>
      <c r="AM34" s="15"/>
      <c r="AN34" s="45"/>
      <c r="AO34" s="45"/>
      <c r="AP34" s="42">
        <f t="shared" si="2"/>
        <v>1</v>
      </c>
      <c r="AQ34" s="48">
        <f>(50%*25%)+(55%*25%)+(66.67%*25%)</f>
        <v>0.42917500000000003</v>
      </c>
      <c r="AR34" s="44">
        <f t="shared" si="11"/>
        <v>0.42917500000000003</v>
      </c>
      <c r="AS34" s="49" t="s">
        <v>318</v>
      </c>
    </row>
    <row r="35" spans="1:45" ht="180" x14ac:dyDescent="0.25">
      <c r="A35" s="15">
        <v>7</v>
      </c>
      <c r="B35" s="15" t="s">
        <v>231</v>
      </c>
      <c r="C35" s="15" t="s">
        <v>258</v>
      </c>
      <c r="D35" s="15" t="s">
        <v>259</v>
      </c>
      <c r="E35" s="16">
        <v>0.04</v>
      </c>
      <c r="F35" s="15" t="s">
        <v>234</v>
      </c>
      <c r="G35" s="15" t="s">
        <v>260</v>
      </c>
      <c r="H35" s="15" t="s">
        <v>261</v>
      </c>
      <c r="I35" s="15"/>
      <c r="J35" s="17" t="s">
        <v>237</v>
      </c>
      <c r="K35" s="17" t="s">
        <v>262</v>
      </c>
      <c r="L35" s="19">
        <v>0</v>
      </c>
      <c r="M35" s="19">
        <v>1</v>
      </c>
      <c r="N35" s="19">
        <v>1</v>
      </c>
      <c r="O35" s="19">
        <v>1</v>
      </c>
      <c r="P35" s="19">
        <v>1</v>
      </c>
      <c r="Q35" s="15" t="s">
        <v>95</v>
      </c>
      <c r="R35" s="15" t="s">
        <v>263</v>
      </c>
      <c r="S35" s="15" t="s">
        <v>264</v>
      </c>
      <c r="T35" s="15" t="s">
        <v>265</v>
      </c>
      <c r="U35" s="15" t="s">
        <v>266</v>
      </c>
      <c r="V35" s="36" t="s">
        <v>65</v>
      </c>
      <c r="W35" s="36" t="s">
        <v>65</v>
      </c>
      <c r="X35" s="36" t="s">
        <v>65</v>
      </c>
      <c r="Y35" s="106" t="s">
        <v>66</v>
      </c>
      <c r="Z35" s="84" t="s">
        <v>65</v>
      </c>
      <c r="AA35" s="36">
        <f t="shared" si="4"/>
        <v>1</v>
      </c>
      <c r="AB35" s="48">
        <v>0.95650000000000002</v>
      </c>
      <c r="AC35" s="48">
        <f>IF(AB35/AA35&gt;100%,100%,AB35/AA35)</f>
        <v>0.95650000000000002</v>
      </c>
      <c r="AD35" s="49" t="s">
        <v>267</v>
      </c>
      <c r="AE35" s="49" t="s">
        <v>268</v>
      </c>
      <c r="AF35" s="42">
        <f t="shared" si="6"/>
        <v>1</v>
      </c>
      <c r="AG35" s="42">
        <v>1</v>
      </c>
      <c r="AH35" s="42">
        <f>IF(AG35/AF35&gt;100%,100%,AG35/AF35)</f>
        <v>1</v>
      </c>
      <c r="AI35" s="49" t="s">
        <v>269</v>
      </c>
      <c r="AJ35" s="110" t="s">
        <v>319</v>
      </c>
      <c r="AK35" s="42">
        <f t="shared" si="1"/>
        <v>1</v>
      </c>
      <c r="AL35" s="15"/>
      <c r="AM35" s="15"/>
      <c r="AN35" s="45"/>
      <c r="AO35" s="45"/>
      <c r="AP35" s="42">
        <f t="shared" si="2"/>
        <v>1</v>
      </c>
      <c r="AQ35" s="44">
        <f>(95.65%*33%)+(100%*33%)</f>
        <v>0.64564500000000002</v>
      </c>
      <c r="AR35" s="44">
        <f t="shared" si="11"/>
        <v>0.64564500000000002</v>
      </c>
      <c r="AS35" s="49" t="s">
        <v>269</v>
      </c>
    </row>
    <row r="36" spans="1:45" ht="105" x14ac:dyDescent="0.25">
      <c r="A36" s="15">
        <v>7</v>
      </c>
      <c r="B36" s="15" t="s">
        <v>231</v>
      </c>
      <c r="C36" s="15" t="s">
        <v>232</v>
      </c>
      <c r="D36" s="15" t="s">
        <v>270</v>
      </c>
      <c r="E36" s="16">
        <v>0.04</v>
      </c>
      <c r="F36" s="15" t="s">
        <v>234</v>
      </c>
      <c r="G36" s="15" t="s">
        <v>271</v>
      </c>
      <c r="H36" s="15" t="s">
        <v>272</v>
      </c>
      <c r="I36" s="15"/>
      <c r="J36" s="17" t="s">
        <v>237</v>
      </c>
      <c r="K36" s="17" t="s">
        <v>273</v>
      </c>
      <c r="L36" s="19">
        <v>0</v>
      </c>
      <c r="M36" s="19">
        <v>1</v>
      </c>
      <c r="N36" s="19" t="s">
        <v>65</v>
      </c>
      <c r="O36" s="19">
        <v>1</v>
      </c>
      <c r="P36" s="19">
        <v>1</v>
      </c>
      <c r="Q36" s="15" t="s">
        <v>95</v>
      </c>
      <c r="R36" s="15" t="s">
        <v>274</v>
      </c>
      <c r="S36" s="15" t="s">
        <v>275</v>
      </c>
      <c r="T36" s="15" t="s">
        <v>252</v>
      </c>
      <c r="U36" s="15" t="s">
        <v>275</v>
      </c>
      <c r="V36" s="36" t="s">
        <v>65</v>
      </c>
      <c r="W36" s="36" t="s">
        <v>65</v>
      </c>
      <c r="X36" s="36" t="s">
        <v>65</v>
      </c>
      <c r="Y36" s="106" t="s">
        <v>66</v>
      </c>
      <c r="Z36" s="84" t="s">
        <v>65</v>
      </c>
      <c r="AA36" s="36">
        <f t="shared" si="4"/>
        <v>1</v>
      </c>
      <c r="AB36" s="36">
        <v>1</v>
      </c>
      <c r="AC36" s="48">
        <f>IF(AB36/AA36&gt;100%,100%,AB36/AA36)</f>
        <v>1</v>
      </c>
      <c r="AD36" s="49" t="s">
        <v>276</v>
      </c>
      <c r="AE36" s="49" t="s">
        <v>277</v>
      </c>
      <c r="AF36" s="42" t="s">
        <v>65</v>
      </c>
      <c r="AG36" s="142" t="s">
        <v>65</v>
      </c>
      <c r="AH36" s="42" t="s">
        <v>65</v>
      </c>
      <c r="AI36" s="49" t="s">
        <v>295</v>
      </c>
      <c r="AJ36" s="111" t="s">
        <v>65</v>
      </c>
      <c r="AK36" s="42">
        <f t="shared" si="1"/>
        <v>1</v>
      </c>
      <c r="AL36" s="15"/>
      <c r="AM36" s="15"/>
      <c r="AN36" s="45"/>
      <c r="AO36" s="45"/>
      <c r="AP36" s="42">
        <f t="shared" si="2"/>
        <v>1</v>
      </c>
      <c r="AQ36" s="42">
        <f>(100%*50%)</f>
        <v>0.5</v>
      </c>
      <c r="AR36" s="44">
        <f t="shared" si="11"/>
        <v>0.5</v>
      </c>
      <c r="AS36" s="49" t="s">
        <v>276</v>
      </c>
    </row>
    <row r="37" spans="1:45" ht="120" x14ac:dyDescent="0.25">
      <c r="A37" s="15">
        <v>5</v>
      </c>
      <c r="B37" s="15" t="s">
        <v>278</v>
      </c>
      <c r="C37" s="15" t="s">
        <v>279</v>
      </c>
      <c r="D37" s="15" t="s">
        <v>280</v>
      </c>
      <c r="E37" s="16">
        <v>0.04</v>
      </c>
      <c r="F37" s="15" t="s">
        <v>234</v>
      </c>
      <c r="G37" s="15" t="s">
        <v>281</v>
      </c>
      <c r="H37" s="15" t="s">
        <v>282</v>
      </c>
      <c r="I37" s="15"/>
      <c r="J37" s="17" t="s">
        <v>283</v>
      </c>
      <c r="K37" s="17" t="s">
        <v>284</v>
      </c>
      <c r="L37" s="18">
        <v>0.33</v>
      </c>
      <c r="M37" s="18">
        <v>0.67</v>
      </c>
      <c r="N37" s="18">
        <v>1</v>
      </c>
      <c r="O37" s="18">
        <v>0</v>
      </c>
      <c r="P37" s="18">
        <v>1</v>
      </c>
      <c r="Q37" s="15" t="s">
        <v>95</v>
      </c>
      <c r="R37" s="15" t="s">
        <v>285</v>
      </c>
      <c r="S37" s="15" t="s">
        <v>286</v>
      </c>
      <c r="T37" s="15" t="s">
        <v>287</v>
      </c>
      <c r="U37" s="15" t="s">
        <v>286</v>
      </c>
      <c r="V37" s="36">
        <f>L37</f>
        <v>0.33</v>
      </c>
      <c r="W37" s="44">
        <v>0.97389999999999999</v>
      </c>
      <c r="X37" s="42">
        <v>1</v>
      </c>
      <c r="Y37" s="106" t="s">
        <v>288</v>
      </c>
      <c r="Z37" s="49"/>
      <c r="AA37" s="36">
        <f t="shared" si="4"/>
        <v>0.67</v>
      </c>
      <c r="AB37" s="48">
        <v>0.98299999999999998</v>
      </c>
      <c r="AC37" s="48">
        <f>IF(AB37/AA37&gt;100%,100%,AB37/AA37)</f>
        <v>1</v>
      </c>
      <c r="AD37" s="49" t="s">
        <v>289</v>
      </c>
      <c r="AE37" s="49" t="s">
        <v>290</v>
      </c>
      <c r="AF37" s="42">
        <f t="shared" si="6"/>
        <v>1</v>
      </c>
      <c r="AG37" s="141">
        <v>0.89480000000000004</v>
      </c>
      <c r="AH37" s="93">
        <f>IF(AG37/AF37&gt;100%,100%,AG37/AF37)</f>
        <v>0.89480000000000004</v>
      </c>
      <c r="AI37" s="49" t="s">
        <v>320</v>
      </c>
      <c r="AJ37" s="49" t="s">
        <v>321</v>
      </c>
      <c r="AK37" s="42">
        <f t="shared" si="1"/>
        <v>0</v>
      </c>
      <c r="AL37" s="15"/>
      <c r="AM37" s="15"/>
      <c r="AN37" s="45"/>
      <c r="AO37" s="45"/>
      <c r="AP37" s="42">
        <f t="shared" si="2"/>
        <v>1</v>
      </c>
      <c r="AQ37" s="44">
        <v>0.89480000000000004</v>
      </c>
      <c r="AR37" s="44">
        <f t="shared" si="11"/>
        <v>0.89480000000000004</v>
      </c>
      <c r="AS37" s="49" t="s">
        <v>320</v>
      </c>
    </row>
    <row r="38" spans="1:45" s="28" customFormat="1" ht="15.75" x14ac:dyDescent="0.25">
      <c r="A38" s="12"/>
      <c r="B38" s="12"/>
      <c r="C38" s="12"/>
      <c r="D38" s="20" t="s">
        <v>291</v>
      </c>
      <c r="E38" s="21">
        <f>SUM(E33:E37)</f>
        <v>0.2</v>
      </c>
      <c r="F38" s="20"/>
      <c r="G38" s="20"/>
      <c r="H38" s="20"/>
      <c r="I38" s="20"/>
      <c r="J38" s="20"/>
      <c r="K38" s="20"/>
      <c r="L38" s="22">
        <f>AVERAGE(L34:L37)</f>
        <v>0.33250000000000002</v>
      </c>
      <c r="M38" s="22">
        <f>AVERAGE(M34:M37)</f>
        <v>0.91749999999999998</v>
      </c>
      <c r="N38" s="22">
        <f>AVERAGE(N34:N37)</f>
        <v>1</v>
      </c>
      <c r="O38" s="22">
        <f>AVERAGE(O34:O37)</f>
        <v>0.75</v>
      </c>
      <c r="P38" s="22">
        <f>AVERAGE(P34:P37)</f>
        <v>1</v>
      </c>
      <c r="Q38" s="20"/>
      <c r="R38" s="12"/>
      <c r="S38" s="12"/>
      <c r="T38" s="12"/>
      <c r="U38" s="12"/>
      <c r="V38" s="69"/>
      <c r="W38" s="69"/>
      <c r="X38" s="70">
        <f>AVERAGE(X33:X37)*20%</f>
        <v>0.15000000000000002</v>
      </c>
      <c r="Y38" s="64"/>
      <c r="Z38" s="64"/>
      <c r="AA38" s="71"/>
      <c r="AB38" s="69"/>
      <c r="AC38" s="89">
        <f>AVERAGE(AC33:AC37)*20%</f>
        <v>0.17161000000000004</v>
      </c>
      <c r="AD38" s="81"/>
      <c r="AE38" s="81"/>
      <c r="AF38" s="71"/>
      <c r="AG38" s="69"/>
      <c r="AH38" s="69">
        <f>AVERAGE(AH33:AH37)*20%</f>
        <v>0.17076666666666668</v>
      </c>
      <c r="AI38" s="66"/>
      <c r="AJ38" s="66"/>
      <c r="AK38" s="71"/>
      <c r="AL38" s="69"/>
      <c r="AM38" s="69" t="e">
        <f>AVERAGE(AM33:AM37)*20%</f>
        <v>#DIV/0!</v>
      </c>
      <c r="AN38" s="66"/>
      <c r="AO38" s="66"/>
      <c r="AP38" s="72"/>
      <c r="AQ38" s="72"/>
      <c r="AR38" s="69">
        <f>AVERAGE(AR33:AR37)*20%</f>
        <v>0.11453480000000001</v>
      </c>
      <c r="AS38" s="81"/>
    </row>
    <row r="39" spans="1:45" s="29" customFormat="1" ht="18.75" x14ac:dyDescent="0.3">
      <c r="A39" s="23"/>
      <c r="B39" s="23"/>
      <c r="C39" s="23"/>
      <c r="D39" s="24" t="s">
        <v>292</v>
      </c>
      <c r="E39" s="25">
        <f>E38+E32</f>
        <v>1.0000000000000009</v>
      </c>
      <c r="F39" s="23"/>
      <c r="G39" s="23"/>
      <c r="H39" s="23"/>
      <c r="I39" s="23"/>
      <c r="J39" s="23"/>
      <c r="K39" s="23"/>
      <c r="L39" s="26">
        <f>L38*$E$38</f>
        <v>6.6500000000000004E-2</v>
      </c>
      <c r="M39" s="26">
        <f>M38*$E$38</f>
        <v>0.1835</v>
      </c>
      <c r="N39" s="26">
        <f>N38*$E$38</f>
        <v>0.2</v>
      </c>
      <c r="O39" s="26">
        <f>O38*$E$38</f>
        <v>0.15000000000000002</v>
      </c>
      <c r="P39" s="26">
        <f>P38*$E$38</f>
        <v>0.2</v>
      </c>
      <c r="Q39" s="23"/>
      <c r="R39" s="23"/>
      <c r="S39" s="23"/>
      <c r="T39" s="23"/>
      <c r="U39" s="23"/>
      <c r="V39" s="73"/>
      <c r="W39" s="73"/>
      <c r="X39" s="74">
        <f>X32+X38</f>
        <v>0.75343291301169601</v>
      </c>
      <c r="Y39" s="75"/>
      <c r="Z39" s="75"/>
      <c r="AA39" s="76"/>
      <c r="AB39" s="73"/>
      <c r="AC39" s="90">
        <f>AC32+AC38</f>
        <v>0.86758409700722405</v>
      </c>
      <c r="AD39" s="82"/>
      <c r="AE39" s="82"/>
      <c r="AF39" s="76"/>
      <c r="AG39" s="73"/>
      <c r="AH39" s="90">
        <f>AH32+AH38</f>
        <v>0.94201529411764717</v>
      </c>
      <c r="AI39" s="112"/>
      <c r="AJ39" s="112"/>
      <c r="AK39" s="113"/>
      <c r="AL39" s="114"/>
      <c r="AM39" s="90" t="e">
        <f>AM32+AM38</f>
        <v>#DIV/0!</v>
      </c>
      <c r="AN39" s="112"/>
      <c r="AO39" s="112"/>
      <c r="AP39" s="115"/>
      <c r="AQ39" s="115"/>
      <c r="AR39" s="90">
        <f>AR32+AR38</f>
        <v>0.65192204172217882</v>
      </c>
      <c r="AS39" s="82"/>
    </row>
  </sheetData>
  <sheetProtection formatColumns="0" formatRows="0" selectLockedCells="1" autoFilter="0" selectUnlockedCells="1"/>
  <autoFilter ref="A13:AS39" xr:uid="{00000000-0001-0000-0000-000000000000}"/>
  <mergeCells count="25">
    <mergeCell ref="AP11:AS11"/>
    <mergeCell ref="AP12:AS12"/>
    <mergeCell ref="V11:Z11"/>
    <mergeCell ref="F4:K4"/>
    <mergeCell ref="H5:K5"/>
    <mergeCell ref="H6:K6"/>
    <mergeCell ref="H7:K7"/>
    <mergeCell ref="H8:K8"/>
    <mergeCell ref="Q11:U12"/>
    <mergeCell ref="V12:Z12"/>
    <mergeCell ref="AA12:AE12"/>
    <mergeCell ref="AF12:AJ12"/>
    <mergeCell ref="AK12:AO12"/>
    <mergeCell ref="AK11:AO11"/>
    <mergeCell ref="AF11:AJ11"/>
    <mergeCell ref="AA11:AE11"/>
    <mergeCell ref="A11:B12"/>
    <mergeCell ref="C11:C13"/>
    <mergeCell ref="D11:P12"/>
    <mergeCell ref="A1:K1"/>
    <mergeCell ref="L1:P1"/>
    <mergeCell ref="A2:P2"/>
    <mergeCell ref="A4:B8"/>
    <mergeCell ref="C4:D8"/>
    <mergeCell ref="H9:K9"/>
  </mergeCells>
  <dataValidations count="3">
    <dataValidation allowBlank="1" showInputMessage="1" showErrorMessage="1" error="Escriba un texto " promptTitle="Cualquier contenido" sqref="F14:F31" xr:uid="{00000000-0002-0000-0000-000000000000}"/>
    <dataValidation type="textLength" operator="lessThanOrEqual" allowBlank="1" showInputMessage="1" showErrorMessage="1" error="Por favor ingresar menos de 2.500 caracteres, incluyendo espacios." prompt="Recuerde que este campo tiene máximo 2.500 caracteres, incluyendo espacios." sqref="AS25 Y16:Y31 AS28:AS31 Y34 Y37 AS16 AS19" xr:uid="{00000000-0002-0000-0000-000001000000}">
      <formula1>2500</formula1>
    </dataValidation>
    <dataValidation type="textLength" operator="lessThanOrEqual" allowBlank="1" showInputMessage="1" showErrorMessage="1" error="Por favor ingresar menos de 2.500 caracteres, incluyendo espacios." sqref="Z37 W37:X37 Z16:Z31 Z34 W34:X34 X16:X31 W16:W25 W27:W31" xr:uid="{00000000-0002-0000-0000-000002000000}">
      <formula1>2500</formula1>
    </dataValidation>
  </dataValidations>
  <hyperlinks>
    <hyperlink ref="AJ35" r:id="rId1" xr:uid="{EA4980EE-31E0-4522-9EA9-A731A05C0479}"/>
  </hyperlinks>
  <pageMargins left="0.7" right="0.7" top="0.75" bottom="0.75" header="0.3" footer="0.3"/>
  <pageSetup paperSize="9" orientation="portrait" r:id="rId2"/>
  <ignoredErrors>
    <ignoredError sqref="M38:P38" formulaRange="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chapinero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Blanca Leidy Navarro Dominguez</cp:lastModifiedBy>
  <cp:revision/>
  <dcterms:created xsi:type="dcterms:W3CDTF">2021-01-25T18:44:53Z</dcterms:created>
  <dcterms:modified xsi:type="dcterms:W3CDTF">2021-11-08T23:25:55Z</dcterms:modified>
  <cp:category/>
  <cp:contentStatus/>
</cp:coreProperties>
</file>