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slicers/slicer2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496C780F-7DD8-412E-8E25-6BC74BEAE49F}" xr6:coauthVersionLast="47" xr6:coauthVersionMax="47" xr10:uidLastSave="{00000000-0000-0000-0000-000000000000}"/>
  <bookViews>
    <workbookView xWindow="-120" yWindow="-120" windowWidth="29040" windowHeight="15840" firstSheet="3" activeTab="3" xr2:uid="{A426B78F-C14A-44B8-BA24-05210D7311CA}"/>
  </bookViews>
  <sheets>
    <sheet name="Alertas tempranas AL y NC" sheetId="1" state="hidden" r:id="rId1"/>
    <sheet name="Comparativo AL" sheetId="2" state="hidden" r:id="rId2"/>
    <sheet name="Comparativo NC" sheetId="3" state="hidden" r:id="rId3"/>
    <sheet name="Gráfico Alertas Alcaldías" sheetId="9" r:id="rId4"/>
    <sheet name="Gráfico Alertas Dependencias NC" sheetId="12" state="hidden" r:id="rId5"/>
  </sheets>
  <definedNames>
    <definedName name="_xlnm._FilterDatabase" localSheetId="0" hidden="1">'Alertas tempranas AL y NC'!$B$64:$E$84</definedName>
    <definedName name="_xlnm._FilterDatabase" localSheetId="1" hidden="1">'Comparativo AL'!$B$307:$I$327</definedName>
    <definedName name="_xlnm.Print_Area" localSheetId="3">'Gráfico Alertas Alcaldías'!$A$1:$U$50</definedName>
    <definedName name="_xlnm.Print_Area" localSheetId="4">'Gráfico Alertas Dependencias NC'!$A$1:$U$52</definedName>
    <definedName name="SegmentaciónDeDatos_ALCALDÍA_LOCAL1">#N/A</definedName>
    <definedName name="SegmentaciónDeDatos_DEPENDENCIAS_DE_NIVEL_CENTRAL">#N/A</definedName>
  </definedNames>
  <calcPr calcId="191029"/>
  <pivotCaches>
    <pivotCache cacheId="9" r:id="rId6"/>
    <pivotCache cacheId="10" r:id="rId7"/>
    <pivotCache cacheId="11" r:id="rId8"/>
    <pivotCache cacheId="12" r:id="rId9"/>
  </pivotCaches>
  <extLst>
    <ext xmlns:x14="http://schemas.microsoft.com/office/spreadsheetml/2009/9/main" uri="{BBE1A952-AA13-448e-AADC-164F8A28A991}">
      <x14:slicerCaches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K2" i="12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M4" i="1"/>
  <c r="AN4" i="1"/>
  <c r="AO4" i="1"/>
  <c r="AM5" i="1"/>
  <c r="AN5" i="1"/>
  <c r="AO5" i="1"/>
  <c r="AM6" i="1"/>
  <c r="AN6" i="1"/>
  <c r="AO6" i="1"/>
  <c r="AM7" i="1"/>
  <c r="AN7" i="1"/>
  <c r="AO7" i="1"/>
  <c r="AM8" i="1"/>
  <c r="AN8" i="1"/>
  <c r="AO8" i="1"/>
  <c r="AM9" i="1"/>
  <c r="AN9" i="1"/>
  <c r="AO9" i="1"/>
  <c r="AM10" i="1"/>
  <c r="AN10" i="1"/>
  <c r="AO10" i="1"/>
  <c r="AM11" i="1"/>
  <c r="AN11" i="1"/>
  <c r="AO11" i="1"/>
  <c r="AM12" i="1"/>
  <c r="AN12" i="1"/>
  <c r="AO12" i="1"/>
  <c r="AM13" i="1"/>
  <c r="AN13" i="1"/>
  <c r="AO13" i="1"/>
  <c r="AM14" i="1"/>
  <c r="AN14" i="1"/>
  <c r="AO14" i="1"/>
  <c r="AM15" i="1"/>
  <c r="AN15" i="1"/>
  <c r="AO15" i="1"/>
  <c r="AM16" i="1"/>
  <c r="AN16" i="1"/>
  <c r="AO16" i="1"/>
  <c r="AM17" i="1"/>
  <c r="AN17" i="1"/>
  <c r="AO17" i="1"/>
  <c r="AM18" i="1"/>
  <c r="AN18" i="1"/>
  <c r="AO18" i="1"/>
  <c r="AM19" i="1"/>
  <c r="AN19" i="1"/>
  <c r="AO19" i="1"/>
  <c r="AM20" i="1"/>
  <c r="AN20" i="1"/>
  <c r="AO20" i="1"/>
  <c r="AM21" i="1"/>
  <c r="AN21" i="1"/>
  <c r="AO21" i="1"/>
  <c r="AM22" i="1"/>
  <c r="AN22" i="1"/>
  <c r="AO22" i="1"/>
  <c r="AO3" i="1"/>
  <c r="AN3" i="1"/>
  <c r="AM3" i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3" i="9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G427" i="3"/>
  <c r="E427" i="3"/>
  <c r="C427" i="3"/>
  <c r="H426" i="3"/>
  <c r="F426" i="3"/>
  <c r="D426" i="3"/>
  <c r="H423" i="3"/>
  <c r="F423" i="3"/>
  <c r="H422" i="3"/>
  <c r="F422" i="3"/>
  <c r="H421" i="3"/>
  <c r="F421" i="3"/>
  <c r="H420" i="3"/>
  <c r="F420" i="3"/>
  <c r="H419" i="3"/>
  <c r="F419" i="3"/>
  <c r="H418" i="3"/>
  <c r="F418" i="3"/>
  <c r="H417" i="3"/>
  <c r="F417" i="3"/>
  <c r="H416" i="3"/>
  <c r="F416" i="3"/>
  <c r="H415" i="3"/>
  <c r="F415" i="3"/>
  <c r="H414" i="3"/>
  <c r="F414" i="3"/>
  <c r="H413" i="3"/>
  <c r="F413" i="3"/>
  <c r="H412" i="3"/>
  <c r="F412" i="3"/>
  <c r="H411" i="3"/>
  <c r="F411" i="3"/>
  <c r="H410" i="3"/>
  <c r="F410" i="3"/>
  <c r="H409" i="3"/>
  <c r="F409" i="3"/>
  <c r="H408" i="3"/>
  <c r="F408" i="3"/>
  <c r="H407" i="3"/>
  <c r="F407" i="3"/>
  <c r="H406" i="3"/>
  <c r="F406" i="3"/>
  <c r="H405" i="3"/>
  <c r="F405" i="3"/>
  <c r="D405" i="3"/>
  <c r="H507" i="2"/>
  <c r="F507" i="2"/>
  <c r="D507" i="2"/>
  <c r="I506" i="2"/>
  <c r="G506" i="2"/>
  <c r="I505" i="2"/>
  <c r="G505" i="2"/>
  <c r="I504" i="2"/>
  <c r="G504" i="2"/>
  <c r="I503" i="2"/>
  <c r="G503" i="2"/>
  <c r="I502" i="2"/>
  <c r="G502" i="2"/>
  <c r="I501" i="2"/>
  <c r="G501" i="2"/>
  <c r="I500" i="2"/>
  <c r="G500" i="2"/>
  <c r="I499" i="2"/>
  <c r="G499" i="2"/>
  <c r="I498" i="2"/>
  <c r="G498" i="2"/>
  <c r="I497" i="2"/>
  <c r="G497" i="2"/>
  <c r="I496" i="2"/>
  <c r="G496" i="2"/>
  <c r="I495" i="2"/>
  <c r="G495" i="2"/>
  <c r="I494" i="2"/>
  <c r="G494" i="2"/>
  <c r="I493" i="2"/>
  <c r="G493" i="2"/>
  <c r="I492" i="2"/>
  <c r="G492" i="2"/>
  <c r="I491" i="2"/>
  <c r="G491" i="2"/>
  <c r="I490" i="2"/>
  <c r="G490" i="2"/>
  <c r="I489" i="2"/>
  <c r="G489" i="2"/>
  <c r="I488" i="2"/>
  <c r="G488" i="2"/>
  <c r="I487" i="2"/>
  <c r="G487" i="2"/>
  <c r="E507" i="2"/>
  <c r="B3" i="9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K9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AD37" i="1"/>
  <c r="AC37" i="1"/>
  <c r="AB37" i="1"/>
  <c r="H396" i="3"/>
  <c r="F396" i="3"/>
  <c r="H395" i="3"/>
  <c r="F395" i="3"/>
  <c r="G400" i="3"/>
  <c r="E400" i="3"/>
  <c r="C400" i="3"/>
  <c r="H399" i="3"/>
  <c r="F399" i="3"/>
  <c r="D399" i="3"/>
  <c r="H394" i="3"/>
  <c r="F394" i="3"/>
  <c r="H393" i="3"/>
  <c r="F393" i="3"/>
  <c r="H392" i="3"/>
  <c r="F392" i="3"/>
  <c r="H391" i="3"/>
  <c r="F391" i="3"/>
  <c r="H390" i="3"/>
  <c r="F390" i="3"/>
  <c r="H389" i="3"/>
  <c r="F389" i="3"/>
  <c r="H388" i="3"/>
  <c r="F388" i="3"/>
  <c r="D388" i="3"/>
  <c r="H387" i="3"/>
  <c r="F387" i="3"/>
  <c r="H386" i="3"/>
  <c r="F386" i="3"/>
  <c r="D386" i="3"/>
  <c r="H385" i="3"/>
  <c r="F385" i="3"/>
  <c r="H384" i="3"/>
  <c r="F384" i="3"/>
  <c r="D384" i="3"/>
  <c r="H383" i="3"/>
  <c r="F383" i="3"/>
  <c r="D383" i="3"/>
  <c r="H382" i="3"/>
  <c r="F382" i="3"/>
  <c r="D382" i="3"/>
  <c r="H381" i="3"/>
  <c r="F381" i="3"/>
  <c r="D381" i="3"/>
  <c r="H380" i="3"/>
  <c r="F380" i="3"/>
  <c r="D380" i="3"/>
  <c r="H379" i="3"/>
  <c r="F379" i="3"/>
  <c r="D379" i="3"/>
  <c r="H378" i="3"/>
  <c r="F378" i="3"/>
  <c r="D378" i="3"/>
  <c r="E42" i="1"/>
  <c r="E40" i="1"/>
  <c r="E105" i="1"/>
  <c r="E104" i="1"/>
  <c r="E103" i="1"/>
  <c r="G43" i="1"/>
  <c r="H43" i="1" s="1"/>
  <c r="G39" i="1"/>
  <c r="K39" i="1" s="1"/>
  <c r="D12" i="12" s="1"/>
  <c r="X41" i="1"/>
  <c r="Y39" i="1"/>
  <c r="X47" i="1"/>
  <c r="X42" i="1"/>
  <c r="X44" i="1"/>
  <c r="Y40" i="1"/>
  <c r="X45" i="1"/>
  <c r="Y48" i="1"/>
  <c r="X34" i="1"/>
  <c r="X51" i="1"/>
  <c r="Y38" i="1"/>
  <c r="Y50" i="1"/>
  <c r="Y35" i="1"/>
  <c r="Y34" i="1"/>
  <c r="X46" i="1"/>
  <c r="Y49" i="1"/>
  <c r="Y51" i="1"/>
  <c r="Y33" i="1"/>
  <c r="X38" i="1"/>
  <c r="X36" i="1"/>
  <c r="X35" i="1"/>
  <c r="X50" i="1"/>
  <c r="X33" i="1"/>
  <c r="Y44" i="1"/>
  <c r="Y42" i="1"/>
  <c r="X49" i="1"/>
  <c r="X48" i="1"/>
  <c r="Y41" i="1"/>
  <c r="Y47" i="1"/>
  <c r="X43" i="1"/>
  <c r="Y46" i="1"/>
  <c r="Y43" i="1"/>
  <c r="X40" i="1"/>
  <c r="Y45" i="1"/>
  <c r="X39" i="1"/>
  <c r="X37" i="1"/>
  <c r="Y37" i="1"/>
  <c r="Y36" i="1"/>
  <c r="F400" i="3" l="1"/>
  <c r="M43" i="1"/>
  <c r="O43" i="1"/>
  <c r="O39" i="1"/>
  <c r="M39" i="1"/>
  <c r="N43" i="1"/>
  <c r="N39" i="1"/>
  <c r="H427" i="3"/>
  <c r="F427" i="3"/>
  <c r="D427" i="3"/>
  <c r="I507" i="2"/>
  <c r="G507" i="2"/>
  <c r="H400" i="3"/>
  <c r="D400" i="3"/>
  <c r="L39" i="1"/>
  <c r="E12" i="12" s="1"/>
  <c r="I39" i="1"/>
  <c r="F12" i="12" s="1"/>
  <c r="H39" i="1"/>
  <c r="L43" i="1"/>
  <c r="E16" i="12" s="1"/>
  <c r="K43" i="1"/>
  <c r="D16" i="12" s="1"/>
  <c r="I43" i="1"/>
  <c r="F16" i="12" s="1"/>
  <c r="AD10" i="1" l="1"/>
  <c r="AB10" i="1"/>
  <c r="G28" i="1"/>
  <c r="B1" i="12" s="1"/>
  <c r="W31" i="1"/>
  <c r="W32" i="1"/>
  <c r="D114" i="1"/>
  <c r="C114" i="1"/>
  <c r="E113" i="1"/>
  <c r="E112" i="1"/>
  <c r="E111" i="1"/>
  <c r="E110" i="1"/>
  <c r="E109" i="1"/>
  <c r="E108" i="1"/>
  <c r="E107" i="1"/>
  <c r="E106" i="1"/>
  <c r="E97" i="1"/>
  <c r="E102" i="1"/>
  <c r="E101" i="1"/>
  <c r="E96" i="1"/>
  <c r="E100" i="1"/>
  <c r="E95" i="1"/>
  <c r="G30" i="1"/>
  <c r="M30" i="1" s="1"/>
  <c r="G31" i="1"/>
  <c r="G32" i="1"/>
  <c r="G33" i="1"/>
  <c r="G34" i="1"/>
  <c r="G35" i="1"/>
  <c r="G36" i="1"/>
  <c r="G37" i="1"/>
  <c r="G38" i="1"/>
  <c r="G40" i="1"/>
  <c r="G41" i="1"/>
  <c r="G42" i="1"/>
  <c r="G44" i="1"/>
  <c r="G45" i="1"/>
  <c r="G46" i="1"/>
  <c r="G47" i="1"/>
  <c r="G48" i="1"/>
  <c r="G49" i="1"/>
  <c r="G50" i="1"/>
  <c r="G51" i="1"/>
  <c r="B3" i="12"/>
  <c r="B2" i="12"/>
  <c r="G1" i="1"/>
  <c r="B1" i="9" s="1"/>
  <c r="W30" i="1"/>
  <c r="J10" i="9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3" i="1"/>
  <c r="AA3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J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D52" i="1"/>
  <c r="C52" i="1"/>
  <c r="E38" i="1"/>
  <c r="E51" i="1"/>
  <c r="E50" i="1"/>
  <c r="E49" i="1"/>
  <c r="E48" i="1"/>
  <c r="E47" i="1"/>
  <c r="E43" i="1"/>
  <c r="E46" i="1"/>
  <c r="E45" i="1"/>
  <c r="E41" i="1"/>
  <c r="E37" i="1"/>
  <c r="E36" i="1"/>
  <c r="E33" i="1"/>
  <c r="E44" i="1"/>
  <c r="E34" i="1"/>
  <c r="E39" i="1"/>
  <c r="E32" i="1"/>
  <c r="E35" i="1"/>
  <c r="E31" i="1"/>
  <c r="E30" i="1"/>
  <c r="Y31" i="1"/>
  <c r="Y17" i="1"/>
  <c r="Y13" i="1"/>
  <c r="X32" i="1"/>
  <c r="Y22" i="1"/>
  <c r="X30" i="1"/>
  <c r="X18" i="1"/>
  <c r="X11" i="1"/>
  <c r="Y9" i="1"/>
  <c r="Y7" i="1"/>
  <c r="X31" i="1"/>
  <c r="X8" i="1"/>
  <c r="Y8" i="1"/>
  <c r="Y30" i="1"/>
  <c r="Y4" i="1"/>
  <c r="X4" i="1"/>
  <c r="X22" i="1"/>
  <c r="Y32" i="1"/>
  <c r="X9" i="1"/>
  <c r="Y21" i="1"/>
  <c r="X20" i="1"/>
  <c r="X7" i="1"/>
  <c r="X15" i="1"/>
  <c r="X3" i="1"/>
  <c r="X16" i="1"/>
  <c r="Y5" i="1"/>
  <c r="X12" i="1"/>
  <c r="Y6" i="1"/>
  <c r="Y11" i="1"/>
  <c r="X17" i="1"/>
  <c r="Y10" i="1"/>
  <c r="Y15" i="1"/>
  <c r="X19" i="1"/>
  <c r="Y12" i="1"/>
  <c r="X10" i="1"/>
  <c r="X5" i="1"/>
  <c r="Y14" i="1"/>
  <c r="X21" i="1"/>
  <c r="Y20" i="1"/>
  <c r="X13" i="1"/>
  <c r="Y3" i="1"/>
  <c r="Y19" i="1"/>
  <c r="Y18" i="1"/>
  <c r="Y16" i="1"/>
  <c r="X6" i="1"/>
  <c r="X14" i="1"/>
  <c r="AA30" i="1" l="1"/>
  <c r="AA38" i="1"/>
  <c r="I19" i="1"/>
  <c r="H19" i="1"/>
  <c r="M19" i="1"/>
  <c r="N19" i="1"/>
  <c r="O19" i="1"/>
  <c r="I15" i="1"/>
  <c r="H15" i="1"/>
  <c r="M15" i="1"/>
  <c r="O15" i="1"/>
  <c r="N15" i="1"/>
  <c r="I11" i="1"/>
  <c r="H11" i="1"/>
  <c r="M11" i="1"/>
  <c r="N11" i="1"/>
  <c r="O11" i="1"/>
  <c r="I7" i="1"/>
  <c r="H7" i="1"/>
  <c r="M7" i="1"/>
  <c r="N7" i="1"/>
  <c r="O7" i="1"/>
  <c r="I3" i="1"/>
  <c r="H3" i="1"/>
  <c r="N3" i="1"/>
  <c r="M3" i="1"/>
  <c r="O3" i="1"/>
  <c r="N51" i="1"/>
  <c r="M51" i="1"/>
  <c r="O51" i="1"/>
  <c r="N47" i="1"/>
  <c r="M47" i="1"/>
  <c r="O47" i="1"/>
  <c r="O42" i="1"/>
  <c r="N42" i="1"/>
  <c r="M42" i="1"/>
  <c r="O37" i="1"/>
  <c r="N37" i="1"/>
  <c r="M37" i="1"/>
  <c r="O33" i="1"/>
  <c r="N33" i="1"/>
  <c r="M33" i="1"/>
  <c r="I22" i="1"/>
  <c r="H22" i="1"/>
  <c r="M22" i="1"/>
  <c r="N22" i="1"/>
  <c r="O22" i="1"/>
  <c r="I18" i="1"/>
  <c r="H18" i="1"/>
  <c r="M18" i="1"/>
  <c r="N18" i="1"/>
  <c r="O18" i="1"/>
  <c r="I14" i="1"/>
  <c r="H14" i="1"/>
  <c r="M14" i="1"/>
  <c r="N14" i="1"/>
  <c r="O14" i="1"/>
  <c r="I10" i="1"/>
  <c r="H10" i="1"/>
  <c r="M10" i="1"/>
  <c r="N10" i="1"/>
  <c r="O10" i="1"/>
  <c r="I6" i="1"/>
  <c r="H6" i="1"/>
  <c r="M6" i="1"/>
  <c r="N6" i="1"/>
  <c r="O6" i="1"/>
  <c r="M50" i="1"/>
  <c r="O50" i="1"/>
  <c r="N50" i="1"/>
  <c r="M46" i="1"/>
  <c r="O46" i="1"/>
  <c r="N46" i="1"/>
  <c r="O41" i="1"/>
  <c r="N41" i="1"/>
  <c r="M41" i="1"/>
  <c r="N36" i="1"/>
  <c r="O36" i="1"/>
  <c r="M36" i="1"/>
  <c r="N32" i="1"/>
  <c r="O32" i="1"/>
  <c r="M32" i="1"/>
  <c r="N20" i="1"/>
  <c r="I20" i="1"/>
  <c r="H20" i="1"/>
  <c r="M20" i="1"/>
  <c r="O20" i="1"/>
  <c r="I16" i="1"/>
  <c r="H16" i="1"/>
  <c r="M16" i="1"/>
  <c r="N16" i="1"/>
  <c r="O16" i="1"/>
  <c r="I12" i="1"/>
  <c r="H12" i="1"/>
  <c r="M12" i="1"/>
  <c r="N12" i="1"/>
  <c r="O12" i="1"/>
  <c r="I8" i="1"/>
  <c r="H8" i="1"/>
  <c r="M8" i="1"/>
  <c r="N8" i="1"/>
  <c r="O8" i="1"/>
  <c r="I4" i="1"/>
  <c r="H4" i="1"/>
  <c r="M4" i="1"/>
  <c r="N4" i="1"/>
  <c r="O4" i="1"/>
  <c r="N48" i="1"/>
  <c r="M48" i="1"/>
  <c r="O48" i="1"/>
  <c r="N44" i="1"/>
  <c r="O44" i="1"/>
  <c r="M44" i="1"/>
  <c r="O38" i="1"/>
  <c r="N38" i="1"/>
  <c r="M38" i="1"/>
  <c r="O34" i="1"/>
  <c r="M34" i="1"/>
  <c r="N34" i="1"/>
  <c r="O30" i="1"/>
  <c r="N30" i="1"/>
  <c r="I21" i="1"/>
  <c r="H21" i="1"/>
  <c r="M21" i="1"/>
  <c r="N21" i="1"/>
  <c r="O21" i="1"/>
  <c r="I17" i="1"/>
  <c r="H17" i="1"/>
  <c r="M17" i="1"/>
  <c r="N17" i="1"/>
  <c r="O17" i="1"/>
  <c r="I13" i="1"/>
  <c r="H13" i="1"/>
  <c r="M13" i="1"/>
  <c r="N13" i="1"/>
  <c r="O13" i="1"/>
  <c r="I9" i="1"/>
  <c r="H9" i="1"/>
  <c r="M9" i="1"/>
  <c r="N9" i="1"/>
  <c r="O9" i="1"/>
  <c r="I5" i="1"/>
  <c r="H5" i="1"/>
  <c r="M5" i="1"/>
  <c r="O5" i="1"/>
  <c r="N5" i="1"/>
  <c r="O49" i="1"/>
  <c r="N49" i="1"/>
  <c r="M49" i="1"/>
  <c r="O45" i="1"/>
  <c r="N45" i="1"/>
  <c r="M45" i="1"/>
  <c r="N40" i="1"/>
  <c r="M40" i="1"/>
  <c r="O40" i="1"/>
  <c r="N35" i="1"/>
  <c r="O35" i="1"/>
  <c r="M35" i="1"/>
  <c r="N31" i="1"/>
  <c r="M31" i="1"/>
  <c r="O31" i="1"/>
  <c r="I48" i="1"/>
  <c r="F21" i="12" s="1"/>
  <c r="H44" i="1"/>
  <c r="I38" i="1"/>
  <c r="F11" i="12" s="1"/>
  <c r="H34" i="1"/>
  <c r="L30" i="1"/>
  <c r="E3" i="12" s="1"/>
  <c r="K51" i="1"/>
  <c r="D24" i="12" s="1"/>
  <c r="K47" i="1"/>
  <c r="D20" i="12" s="1"/>
  <c r="K42" i="1"/>
  <c r="D15" i="12" s="1"/>
  <c r="L37" i="1"/>
  <c r="E10" i="12" s="1"/>
  <c r="L33" i="1"/>
  <c r="E6" i="12" s="1"/>
  <c r="L50" i="1"/>
  <c r="E23" i="12" s="1"/>
  <c r="L46" i="1"/>
  <c r="E19" i="12" s="1"/>
  <c r="K41" i="1"/>
  <c r="D14" i="12" s="1"/>
  <c r="K36" i="1"/>
  <c r="D9" i="12" s="1"/>
  <c r="K32" i="1"/>
  <c r="D5" i="12" s="1"/>
  <c r="L49" i="1"/>
  <c r="E22" i="12" s="1"/>
  <c r="L45" i="1"/>
  <c r="E18" i="12" s="1"/>
  <c r="L40" i="1"/>
  <c r="E13" i="12" s="1"/>
  <c r="K35" i="1"/>
  <c r="D8" i="12" s="1"/>
  <c r="K31" i="1"/>
  <c r="D4" i="12" s="1"/>
  <c r="AA11" i="1"/>
  <c r="K46" i="1"/>
  <c r="D19" i="12" s="1"/>
  <c r="L36" i="1"/>
  <c r="E9" i="12" s="1"/>
  <c r="L32" i="1"/>
  <c r="E5" i="12" s="1"/>
  <c r="K50" i="1"/>
  <c r="D23" i="12" s="1"/>
  <c r="K38" i="1"/>
  <c r="D11" i="12" s="1"/>
  <c r="K34" i="1"/>
  <c r="D7" i="12" s="1"/>
  <c r="K30" i="1"/>
  <c r="D3" i="12" s="1"/>
  <c r="L48" i="1"/>
  <c r="E21" i="12" s="1"/>
  <c r="L44" i="1"/>
  <c r="E17" i="12" s="1"/>
  <c r="K49" i="1"/>
  <c r="D22" i="12" s="1"/>
  <c r="K45" i="1"/>
  <c r="D18" i="12" s="1"/>
  <c r="K37" i="1"/>
  <c r="D10" i="12" s="1"/>
  <c r="K33" i="1"/>
  <c r="D6" i="12" s="1"/>
  <c r="L51" i="1"/>
  <c r="E24" i="12" s="1"/>
  <c r="L47" i="1"/>
  <c r="E20" i="12" s="1"/>
  <c r="L42" i="1"/>
  <c r="E15" i="12" s="1"/>
  <c r="L35" i="1"/>
  <c r="E8" i="12" s="1"/>
  <c r="L31" i="1"/>
  <c r="E4" i="12" s="1"/>
  <c r="K48" i="1"/>
  <c r="D21" i="12" s="1"/>
  <c r="K44" i="1"/>
  <c r="D17" i="12" s="1"/>
  <c r="L38" i="1"/>
  <c r="E11" i="12" s="1"/>
  <c r="L34" i="1"/>
  <c r="E7" i="12" s="1"/>
  <c r="L41" i="1"/>
  <c r="E14" i="12" s="1"/>
  <c r="K40" i="1"/>
  <c r="D13" i="12" s="1"/>
  <c r="H38" i="1"/>
  <c r="H30" i="1"/>
  <c r="I44" i="1"/>
  <c r="F17" i="12" s="1"/>
  <c r="I34" i="1"/>
  <c r="F7" i="12" s="1"/>
  <c r="H51" i="1"/>
  <c r="H47" i="1"/>
  <c r="H42" i="1"/>
  <c r="H37" i="1"/>
  <c r="H33" i="1"/>
  <c r="I51" i="1"/>
  <c r="F24" i="12" s="1"/>
  <c r="I47" i="1"/>
  <c r="F20" i="12" s="1"/>
  <c r="I42" i="1"/>
  <c r="F15" i="12" s="1"/>
  <c r="I37" i="1"/>
  <c r="F10" i="12" s="1"/>
  <c r="I33" i="1"/>
  <c r="F6" i="12" s="1"/>
  <c r="H50" i="1"/>
  <c r="H46" i="1"/>
  <c r="H41" i="1"/>
  <c r="H36" i="1"/>
  <c r="H32" i="1"/>
  <c r="I50" i="1"/>
  <c r="F23" i="12" s="1"/>
  <c r="I46" i="1"/>
  <c r="F19" i="12" s="1"/>
  <c r="I41" i="1"/>
  <c r="F14" i="12" s="1"/>
  <c r="I36" i="1"/>
  <c r="F9" i="12" s="1"/>
  <c r="I32" i="1"/>
  <c r="F5" i="12" s="1"/>
  <c r="H48" i="1"/>
  <c r="I30" i="1"/>
  <c r="F3" i="12" s="1"/>
  <c r="H49" i="1"/>
  <c r="H45" i="1"/>
  <c r="H40" i="1"/>
  <c r="H35" i="1"/>
  <c r="H31" i="1"/>
  <c r="I49" i="1"/>
  <c r="F22" i="12" s="1"/>
  <c r="I45" i="1"/>
  <c r="F18" i="12" s="1"/>
  <c r="I40" i="1"/>
  <c r="F13" i="12" s="1"/>
  <c r="I35" i="1"/>
  <c r="F8" i="12" s="1"/>
  <c r="I31" i="1"/>
  <c r="F4" i="12" s="1"/>
  <c r="AA34" i="1"/>
  <c r="AA7" i="1"/>
  <c r="AD7" i="1" s="1"/>
  <c r="AC3" i="1"/>
  <c r="F23" i="9"/>
  <c r="E52" i="1"/>
  <c r="E99" i="1"/>
  <c r="E98" i="1"/>
  <c r="G371" i="3"/>
  <c r="E371" i="3"/>
  <c r="C371" i="3"/>
  <c r="H370" i="3"/>
  <c r="F370" i="3"/>
  <c r="D370" i="3"/>
  <c r="H367" i="3"/>
  <c r="F367" i="3"/>
  <c r="H366" i="3"/>
  <c r="F366" i="3"/>
  <c r="H365" i="3"/>
  <c r="F365" i="3"/>
  <c r="H364" i="3"/>
  <c r="F364" i="3"/>
  <c r="H363" i="3"/>
  <c r="F363" i="3"/>
  <c r="H362" i="3"/>
  <c r="F362" i="3"/>
  <c r="H361" i="3"/>
  <c r="F361" i="3"/>
  <c r="D361" i="3"/>
  <c r="H360" i="3"/>
  <c r="F360" i="3"/>
  <c r="H359" i="3"/>
  <c r="F359" i="3"/>
  <c r="D359" i="3"/>
  <c r="H358" i="3"/>
  <c r="F358" i="3"/>
  <c r="H352" i="3"/>
  <c r="F352" i="3"/>
  <c r="D352" i="3"/>
  <c r="H357" i="3"/>
  <c r="F357" i="3"/>
  <c r="D357" i="3"/>
  <c r="H356" i="3"/>
  <c r="F356" i="3"/>
  <c r="D356" i="3"/>
  <c r="H355" i="3"/>
  <c r="F355" i="3"/>
  <c r="D355" i="3"/>
  <c r="H354" i="3"/>
  <c r="F354" i="3"/>
  <c r="D354" i="3"/>
  <c r="H351" i="3"/>
  <c r="F351" i="3"/>
  <c r="D351" i="3"/>
  <c r="H353" i="3"/>
  <c r="F353" i="3"/>
  <c r="D353" i="3"/>
  <c r="H482" i="2"/>
  <c r="F482" i="2"/>
  <c r="D482" i="2"/>
  <c r="I481" i="2"/>
  <c r="G481" i="2"/>
  <c r="E481" i="2"/>
  <c r="I479" i="2"/>
  <c r="G479" i="2"/>
  <c r="E479" i="2"/>
  <c r="I480" i="2"/>
  <c r="G480" i="2"/>
  <c r="E480" i="2"/>
  <c r="I473" i="2"/>
  <c r="G473" i="2"/>
  <c r="E473" i="2"/>
  <c r="I476" i="2"/>
  <c r="G476" i="2"/>
  <c r="E476" i="2"/>
  <c r="I475" i="2"/>
  <c r="G475" i="2"/>
  <c r="E475" i="2"/>
  <c r="I472" i="2"/>
  <c r="G472" i="2"/>
  <c r="E472" i="2"/>
  <c r="I478" i="2"/>
  <c r="G478" i="2"/>
  <c r="E478" i="2"/>
  <c r="I474" i="2"/>
  <c r="G474" i="2"/>
  <c r="E474" i="2"/>
  <c r="I468" i="2"/>
  <c r="G468" i="2"/>
  <c r="E468" i="2"/>
  <c r="I470" i="2"/>
  <c r="G470" i="2"/>
  <c r="E470" i="2"/>
  <c r="I471" i="2"/>
  <c r="G471" i="2"/>
  <c r="E471" i="2"/>
  <c r="I469" i="2"/>
  <c r="G469" i="2"/>
  <c r="E469" i="2"/>
  <c r="I477" i="2"/>
  <c r="G477" i="2"/>
  <c r="E477" i="2"/>
  <c r="I467" i="2"/>
  <c r="G467" i="2"/>
  <c r="E467" i="2"/>
  <c r="I466" i="2"/>
  <c r="G466" i="2"/>
  <c r="E466" i="2"/>
  <c r="I465" i="2"/>
  <c r="G465" i="2"/>
  <c r="E465" i="2"/>
  <c r="I463" i="2"/>
  <c r="G463" i="2"/>
  <c r="E463" i="2"/>
  <c r="I464" i="2"/>
  <c r="G464" i="2"/>
  <c r="E464" i="2"/>
  <c r="I462" i="2"/>
  <c r="G462" i="2"/>
  <c r="E462" i="2"/>
  <c r="AB38" i="1" l="1"/>
  <c r="F25" i="12"/>
  <c r="D25" i="12"/>
  <c r="E25" i="12"/>
  <c r="AC30" i="1"/>
  <c r="K20" i="12" s="1"/>
  <c r="AB30" i="1"/>
  <c r="AB3" i="1"/>
  <c r="AC11" i="1"/>
  <c r="E482" i="2"/>
  <c r="AD11" i="1"/>
  <c r="AD38" i="1"/>
  <c r="AC38" i="1"/>
  <c r="AB11" i="1"/>
  <c r="AD34" i="1"/>
  <c r="AC34" i="1"/>
  <c r="K13" i="12" s="1"/>
  <c r="R19" i="12" s="1"/>
  <c r="AB34" i="1"/>
  <c r="K5" i="12" s="1"/>
  <c r="N18" i="12" s="1"/>
  <c r="D371" i="3"/>
  <c r="H371" i="3"/>
  <c r="F371" i="3"/>
  <c r="I482" i="2"/>
  <c r="G482" i="2"/>
  <c r="G346" i="3"/>
  <c r="E346" i="3"/>
  <c r="C346" i="3"/>
  <c r="H345" i="3"/>
  <c r="F345" i="3"/>
  <c r="D345" i="3"/>
  <c r="H344" i="3"/>
  <c r="F344" i="3"/>
  <c r="H343" i="3"/>
  <c r="F343" i="3"/>
  <c r="H342" i="3"/>
  <c r="F342" i="3"/>
  <c r="H341" i="3"/>
  <c r="F341" i="3"/>
  <c r="H340" i="3"/>
  <c r="F340" i="3"/>
  <c r="H339" i="3"/>
  <c r="F339" i="3"/>
  <c r="H338" i="3"/>
  <c r="F338" i="3"/>
  <c r="D338" i="3"/>
  <c r="H337" i="3"/>
  <c r="F337" i="3"/>
  <c r="H336" i="3"/>
  <c r="F336" i="3"/>
  <c r="D336" i="3"/>
  <c r="H335" i="3"/>
  <c r="F335" i="3"/>
  <c r="H334" i="3"/>
  <c r="F334" i="3"/>
  <c r="D334" i="3"/>
  <c r="H333" i="3"/>
  <c r="F333" i="3"/>
  <c r="D333" i="3"/>
  <c r="H332" i="3"/>
  <c r="F332" i="3"/>
  <c r="D332" i="3"/>
  <c r="H331" i="3"/>
  <c r="F331" i="3"/>
  <c r="D331" i="3"/>
  <c r="H330" i="3"/>
  <c r="F330" i="3"/>
  <c r="D330" i="3"/>
  <c r="H329" i="3"/>
  <c r="F329" i="3"/>
  <c r="D329" i="3"/>
  <c r="H328" i="3"/>
  <c r="F328" i="3"/>
  <c r="D328" i="3"/>
  <c r="H457" i="2"/>
  <c r="F457" i="2"/>
  <c r="D457" i="2"/>
  <c r="I456" i="2"/>
  <c r="G456" i="2"/>
  <c r="E456" i="2"/>
  <c r="I455" i="2"/>
  <c r="G455" i="2"/>
  <c r="E455" i="2"/>
  <c r="I454" i="2"/>
  <c r="G454" i="2"/>
  <c r="E454" i="2"/>
  <c r="I443" i="2"/>
  <c r="G443" i="2"/>
  <c r="E443" i="2"/>
  <c r="I451" i="2"/>
  <c r="G451" i="2"/>
  <c r="E451" i="2"/>
  <c r="I450" i="2"/>
  <c r="G450" i="2"/>
  <c r="E450" i="2"/>
  <c r="I452" i="2"/>
  <c r="G452" i="2"/>
  <c r="E452" i="2"/>
  <c r="I445" i="2"/>
  <c r="G445" i="2"/>
  <c r="E445" i="2"/>
  <c r="I449" i="2"/>
  <c r="G449" i="2"/>
  <c r="E449" i="2"/>
  <c r="I448" i="2"/>
  <c r="G448" i="2"/>
  <c r="E448" i="2"/>
  <c r="I447" i="2"/>
  <c r="G447" i="2"/>
  <c r="E447" i="2"/>
  <c r="I442" i="2"/>
  <c r="G442" i="2"/>
  <c r="E442" i="2"/>
  <c r="I444" i="2"/>
  <c r="G444" i="2"/>
  <c r="E444" i="2"/>
  <c r="I441" i="2"/>
  <c r="G441" i="2"/>
  <c r="E441" i="2"/>
  <c r="I453" i="2"/>
  <c r="G453" i="2"/>
  <c r="E453" i="2"/>
  <c r="I446" i="2"/>
  <c r="G446" i="2"/>
  <c r="E446" i="2"/>
  <c r="I440" i="2"/>
  <c r="G440" i="2"/>
  <c r="E440" i="2"/>
  <c r="I439" i="2"/>
  <c r="G439" i="2"/>
  <c r="E439" i="2"/>
  <c r="I438" i="2"/>
  <c r="G438" i="2"/>
  <c r="E438" i="2"/>
  <c r="I437" i="2"/>
  <c r="G437" i="2"/>
  <c r="E437" i="2"/>
  <c r="E21" i="1"/>
  <c r="J21" i="1" s="1"/>
  <c r="D309" i="3"/>
  <c r="I430" i="2"/>
  <c r="I429" i="2"/>
  <c r="I428" i="2"/>
  <c r="I423" i="2"/>
  <c r="I427" i="2"/>
  <c r="I422" i="2"/>
  <c r="I419" i="2"/>
  <c r="I421" i="2"/>
  <c r="I417" i="2"/>
  <c r="I425" i="2"/>
  <c r="I426" i="2"/>
  <c r="I418" i="2"/>
  <c r="I420" i="2"/>
  <c r="I412" i="2"/>
  <c r="I411" i="2"/>
  <c r="I415" i="2"/>
  <c r="I416" i="2"/>
  <c r="I413" i="2"/>
  <c r="I414" i="2"/>
  <c r="I424" i="2"/>
  <c r="H431" i="2"/>
  <c r="F431" i="2"/>
  <c r="G322" i="3"/>
  <c r="E322" i="3"/>
  <c r="C322" i="3"/>
  <c r="H321" i="3"/>
  <c r="F321" i="3"/>
  <c r="D321" i="3"/>
  <c r="H320" i="3"/>
  <c r="F320" i="3"/>
  <c r="H319" i="3"/>
  <c r="F319" i="3"/>
  <c r="H318" i="3"/>
  <c r="F318" i="3"/>
  <c r="H317" i="3"/>
  <c r="F317" i="3"/>
  <c r="H316" i="3"/>
  <c r="F316" i="3"/>
  <c r="H315" i="3"/>
  <c r="F315" i="3"/>
  <c r="H314" i="3"/>
  <c r="F314" i="3"/>
  <c r="D314" i="3"/>
  <c r="H313" i="3"/>
  <c r="F313" i="3"/>
  <c r="H308" i="3"/>
  <c r="F308" i="3"/>
  <c r="D308" i="3"/>
  <c r="H312" i="3"/>
  <c r="F312" i="3"/>
  <c r="D312" i="3"/>
  <c r="H311" i="3"/>
  <c r="F311" i="3"/>
  <c r="H310" i="3"/>
  <c r="F310" i="3"/>
  <c r="D310" i="3"/>
  <c r="H309" i="3"/>
  <c r="F309" i="3"/>
  <c r="H307" i="3"/>
  <c r="F307" i="3"/>
  <c r="D307" i="3"/>
  <c r="H305" i="3"/>
  <c r="F305" i="3"/>
  <c r="D305" i="3"/>
  <c r="H306" i="3"/>
  <c r="F306" i="3"/>
  <c r="D306" i="3"/>
  <c r="H304" i="3"/>
  <c r="F304" i="3"/>
  <c r="D304" i="3"/>
  <c r="G414" i="2"/>
  <c r="G413" i="2"/>
  <c r="G416" i="2"/>
  <c r="G415" i="2"/>
  <c r="G411" i="2"/>
  <c r="G412" i="2"/>
  <c r="G420" i="2"/>
  <c r="G418" i="2"/>
  <c r="G426" i="2"/>
  <c r="G425" i="2"/>
  <c r="G417" i="2"/>
  <c r="G421" i="2"/>
  <c r="G419" i="2"/>
  <c r="G422" i="2"/>
  <c r="G427" i="2"/>
  <c r="G423" i="2"/>
  <c r="G428" i="2"/>
  <c r="G429" i="2"/>
  <c r="G430" i="2"/>
  <c r="G424" i="2"/>
  <c r="D431" i="2"/>
  <c r="E430" i="2"/>
  <c r="E429" i="2"/>
  <c r="E428" i="2"/>
  <c r="E423" i="2"/>
  <c r="E427" i="2"/>
  <c r="E422" i="2"/>
  <c r="E419" i="2"/>
  <c r="E421" i="2"/>
  <c r="E417" i="2"/>
  <c r="E425" i="2"/>
  <c r="E426" i="2"/>
  <c r="E418" i="2"/>
  <c r="E420" i="2"/>
  <c r="E412" i="2"/>
  <c r="E411" i="2"/>
  <c r="E415" i="2"/>
  <c r="E416" i="2"/>
  <c r="E413" i="2"/>
  <c r="E414" i="2"/>
  <c r="E424" i="2"/>
  <c r="C85" i="1"/>
  <c r="G298" i="3"/>
  <c r="E298" i="3"/>
  <c r="C298" i="3"/>
  <c r="H297" i="3"/>
  <c r="F297" i="3"/>
  <c r="D297" i="3"/>
  <c r="H296" i="3"/>
  <c r="F296" i="3"/>
  <c r="H295" i="3"/>
  <c r="F295" i="3"/>
  <c r="H294" i="3"/>
  <c r="F294" i="3"/>
  <c r="H293" i="3"/>
  <c r="F293" i="3"/>
  <c r="H292" i="3"/>
  <c r="F292" i="3"/>
  <c r="H291" i="3"/>
  <c r="F291" i="3"/>
  <c r="H290" i="3"/>
  <c r="F290" i="3"/>
  <c r="D290" i="3"/>
  <c r="H289" i="3"/>
  <c r="F289" i="3"/>
  <c r="H288" i="3"/>
  <c r="F288" i="3"/>
  <c r="D288" i="3"/>
  <c r="H287" i="3"/>
  <c r="F287" i="3"/>
  <c r="D287" i="3"/>
  <c r="H284" i="3"/>
  <c r="F284" i="3"/>
  <c r="D284" i="3"/>
  <c r="H286" i="3"/>
  <c r="F286" i="3"/>
  <c r="H285" i="3"/>
  <c r="F285" i="3"/>
  <c r="D285" i="3"/>
  <c r="H282" i="3"/>
  <c r="F282" i="3"/>
  <c r="D282" i="3"/>
  <c r="H283" i="3"/>
  <c r="F283" i="3"/>
  <c r="D283" i="3"/>
  <c r="H281" i="3"/>
  <c r="F281" i="3"/>
  <c r="D281" i="3"/>
  <c r="H280" i="3"/>
  <c r="F280" i="3"/>
  <c r="D280" i="3"/>
  <c r="H406" i="2"/>
  <c r="F406" i="2"/>
  <c r="D406" i="2"/>
  <c r="I405" i="2"/>
  <c r="G405" i="2"/>
  <c r="E405" i="2"/>
  <c r="I404" i="2"/>
  <c r="G404" i="2"/>
  <c r="E404" i="2"/>
  <c r="I402" i="2"/>
  <c r="G402" i="2"/>
  <c r="E402" i="2"/>
  <c r="I398" i="2"/>
  <c r="G398" i="2"/>
  <c r="E398" i="2"/>
  <c r="I403" i="2"/>
  <c r="G403" i="2"/>
  <c r="E403" i="2"/>
  <c r="I401" i="2"/>
  <c r="G401" i="2"/>
  <c r="E401" i="2"/>
  <c r="I395" i="2"/>
  <c r="G395" i="2"/>
  <c r="E395" i="2"/>
  <c r="I397" i="2"/>
  <c r="G397" i="2"/>
  <c r="E397" i="2"/>
  <c r="I400" i="2"/>
  <c r="G400" i="2"/>
  <c r="E400" i="2"/>
  <c r="I394" i="2"/>
  <c r="G394" i="2"/>
  <c r="E394" i="2"/>
  <c r="I399" i="2"/>
  <c r="G399" i="2"/>
  <c r="E399" i="2"/>
  <c r="I396" i="2"/>
  <c r="G396" i="2"/>
  <c r="E396" i="2"/>
  <c r="I393" i="2"/>
  <c r="G393" i="2"/>
  <c r="E393" i="2"/>
  <c r="I392" i="2"/>
  <c r="G392" i="2"/>
  <c r="E392" i="2"/>
  <c r="I390" i="2"/>
  <c r="G390" i="2"/>
  <c r="E390" i="2"/>
  <c r="I389" i="2"/>
  <c r="G389" i="2"/>
  <c r="E389" i="2"/>
  <c r="I391" i="2"/>
  <c r="G391" i="2"/>
  <c r="E391" i="2"/>
  <c r="I388" i="2"/>
  <c r="G388" i="2"/>
  <c r="E388" i="2"/>
  <c r="I387" i="2"/>
  <c r="G387" i="2"/>
  <c r="E387" i="2"/>
  <c r="I386" i="2"/>
  <c r="G386" i="2"/>
  <c r="E386" i="2"/>
  <c r="G273" i="3"/>
  <c r="E273" i="3"/>
  <c r="C273" i="3"/>
  <c r="H261" i="3"/>
  <c r="F261" i="3"/>
  <c r="D261" i="3"/>
  <c r="H272" i="3"/>
  <c r="F272" i="3"/>
  <c r="D272" i="3"/>
  <c r="H271" i="3"/>
  <c r="F271" i="3"/>
  <c r="H270" i="3"/>
  <c r="F270" i="3"/>
  <c r="H269" i="3"/>
  <c r="F269" i="3"/>
  <c r="H268" i="3"/>
  <c r="F268" i="3"/>
  <c r="H267" i="3"/>
  <c r="F267" i="3"/>
  <c r="H266" i="3"/>
  <c r="F266" i="3"/>
  <c r="H265" i="3"/>
  <c r="F265" i="3"/>
  <c r="D265" i="3"/>
  <c r="H264" i="3"/>
  <c r="F264" i="3"/>
  <c r="H263" i="3"/>
  <c r="F263" i="3"/>
  <c r="D263" i="3"/>
  <c r="H260" i="3"/>
  <c r="F260" i="3"/>
  <c r="H256" i="3"/>
  <c r="F256" i="3"/>
  <c r="D256" i="3"/>
  <c r="H262" i="3"/>
  <c r="F262" i="3"/>
  <c r="D262" i="3"/>
  <c r="H259" i="3"/>
  <c r="F259" i="3"/>
  <c r="D259" i="3"/>
  <c r="H258" i="3"/>
  <c r="F258" i="3"/>
  <c r="D258" i="3"/>
  <c r="H257" i="3"/>
  <c r="F257" i="3"/>
  <c r="D257" i="3"/>
  <c r="H255" i="3"/>
  <c r="F255" i="3"/>
  <c r="D255" i="3"/>
  <c r="H380" i="2"/>
  <c r="F380" i="2"/>
  <c r="D380" i="2"/>
  <c r="I379" i="2"/>
  <c r="G379" i="2"/>
  <c r="E379" i="2"/>
  <c r="I375" i="2"/>
  <c r="G375" i="2"/>
  <c r="E375" i="2"/>
  <c r="I376" i="2"/>
  <c r="G376" i="2"/>
  <c r="E376" i="2"/>
  <c r="I378" i="2"/>
  <c r="G378" i="2"/>
  <c r="E378" i="2"/>
  <c r="I377" i="2"/>
  <c r="G377" i="2"/>
  <c r="E377" i="2"/>
  <c r="I373" i="2"/>
  <c r="G373" i="2"/>
  <c r="E373" i="2"/>
  <c r="I374" i="2"/>
  <c r="G374" i="2"/>
  <c r="E374" i="2"/>
  <c r="I372" i="2"/>
  <c r="G372" i="2"/>
  <c r="E372" i="2"/>
  <c r="I371" i="2"/>
  <c r="G371" i="2"/>
  <c r="E371" i="2"/>
  <c r="I367" i="2"/>
  <c r="G367" i="2"/>
  <c r="E367" i="2"/>
  <c r="I369" i="2"/>
  <c r="G369" i="2"/>
  <c r="E369" i="2"/>
  <c r="I370" i="2"/>
  <c r="G370" i="2"/>
  <c r="E370" i="2"/>
  <c r="I366" i="2"/>
  <c r="G366" i="2"/>
  <c r="E366" i="2"/>
  <c r="I368" i="2"/>
  <c r="G368" i="2"/>
  <c r="E368" i="2"/>
  <c r="I365" i="2"/>
  <c r="G365" i="2"/>
  <c r="E365" i="2"/>
  <c r="I364" i="2"/>
  <c r="G364" i="2"/>
  <c r="E364" i="2"/>
  <c r="I361" i="2"/>
  <c r="G361" i="2"/>
  <c r="E361" i="2"/>
  <c r="I362" i="2"/>
  <c r="G362" i="2"/>
  <c r="E362" i="2"/>
  <c r="I363" i="2"/>
  <c r="G363" i="2"/>
  <c r="E363" i="2"/>
  <c r="I360" i="2"/>
  <c r="G360" i="2"/>
  <c r="E360" i="2"/>
  <c r="H242" i="3"/>
  <c r="G249" i="3"/>
  <c r="E249" i="3"/>
  <c r="C249" i="3"/>
  <c r="H248" i="3"/>
  <c r="F248" i="3"/>
  <c r="D248" i="3"/>
  <c r="H247" i="3"/>
  <c r="F247" i="3"/>
  <c r="D247" i="3"/>
  <c r="H246" i="3"/>
  <c r="F246" i="3"/>
  <c r="H245" i="3"/>
  <c r="F245" i="3"/>
  <c r="H238" i="3"/>
  <c r="F238" i="3"/>
  <c r="D238" i="3"/>
  <c r="H244" i="3"/>
  <c r="F244" i="3"/>
  <c r="H243" i="3"/>
  <c r="F243" i="3"/>
  <c r="F242" i="3"/>
  <c r="H241" i="3"/>
  <c r="F241" i="3"/>
  <c r="H235" i="3"/>
  <c r="F235" i="3"/>
  <c r="D235" i="3"/>
  <c r="H240" i="3"/>
  <c r="F240" i="3"/>
  <c r="D240" i="3"/>
  <c r="H237" i="3"/>
  <c r="F237" i="3"/>
  <c r="H239" i="3"/>
  <c r="F239" i="3"/>
  <c r="H232" i="3"/>
  <c r="F232" i="3"/>
  <c r="D232" i="3"/>
  <c r="H234" i="3"/>
  <c r="F234" i="3"/>
  <c r="D234" i="3"/>
  <c r="H236" i="3"/>
  <c r="F236" i="3"/>
  <c r="D236" i="3"/>
  <c r="H233" i="3"/>
  <c r="F233" i="3"/>
  <c r="D233" i="3"/>
  <c r="H231" i="3"/>
  <c r="F231" i="3"/>
  <c r="D231" i="3"/>
  <c r="H354" i="2"/>
  <c r="F354" i="2"/>
  <c r="D354" i="2"/>
  <c r="I353" i="2"/>
  <c r="G353" i="2"/>
  <c r="E353" i="2"/>
  <c r="I350" i="2"/>
  <c r="G350" i="2"/>
  <c r="E350" i="2"/>
  <c r="I352" i="2"/>
  <c r="G352" i="2"/>
  <c r="E352" i="2"/>
  <c r="I348" i="2"/>
  <c r="G348" i="2"/>
  <c r="E348" i="2"/>
  <c r="I351" i="2"/>
  <c r="G351" i="2"/>
  <c r="E351" i="2"/>
  <c r="I349" i="2"/>
  <c r="G349" i="2"/>
  <c r="E349" i="2"/>
  <c r="I343" i="2"/>
  <c r="G343" i="2"/>
  <c r="E343" i="2"/>
  <c r="I345" i="2"/>
  <c r="G345" i="2"/>
  <c r="E345" i="2"/>
  <c r="I346" i="2"/>
  <c r="G346" i="2"/>
  <c r="E346" i="2"/>
  <c r="I344" i="2"/>
  <c r="G344" i="2"/>
  <c r="E344" i="2"/>
  <c r="I341" i="2"/>
  <c r="G341" i="2"/>
  <c r="E341" i="2"/>
  <c r="I347" i="2"/>
  <c r="G347" i="2"/>
  <c r="E347" i="2"/>
  <c r="I342" i="2"/>
  <c r="G342" i="2"/>
  <c r="E342" i="2"/>
  <c r="I339" i="2"/>
  <c r="G339" i="2"/>
  <c r="E339" i="2"/>
  <c r="I340" i="2"/>
  <c r="G340" i="2"/>
  <c r="E340" i="2"/>
  <c r="I338" i="2"/>
  <c r="G338" i="2"/>
  <c r="E338" i="2"/>
  <c r="I337" i="2"/>
  <c r="G337" i="2"/>
  <c r="E337" i="2"/>
  <c r="I335" i="2"/>
  <c r="G335" i="2"/>
  <c r="E335" i="2"/>
  <c r="I336" i="2"/>
  <c r="G336" i="2"/>
  <c r="E336" i="2"/>
  <c r="I334" i="2"/>
  <c r="G334" i="2"/>
  <c r="E334" i="2"/>
  <c r="F209" i="3"/>
  <c r="F215" i="3"/>
  <c r="F213" i="3"/>
  <c r="F216" i="3"/>
  <c r="F217" i="3"/>
  <c r="F218" i="3"/>
  <c r="F210" i="3"/>
  <c r="F219" i="3"/>
  <c r="F220" i="3"/>
  <c r="F221" i="3"/>
  <c r="F214" i="3"/>
  <c r="F222" i="3"/>
  <c r="F223" i="3"/>
  <c r="F224" i="3"/>
  <c r="F225" i="3"/>
  <c r="F208" i="3"/>
  <c r="F212" i="3"/>
  <c r="G226" i="3"/>
  <c r="E226" i="3"/>
  <c r="C226" i="3"/>
  <c r="H225" i="3"/>
  <c r="D225" i="3"/>
  <c r="H224" i="3"/>
  <c r="D224" i="3"/>
  <c r="H223" i="3"/>
  <c r="H222" i="3"/>
  <c r="H214" i="3"/>
  <c r="H221" i="3"/>
  <c r="D221" i="3"/>
  <c r="H220" i="3"/>
  <c r="H219" i="3"/>
  <c r="H210" i="3"/>
  <c r="D210" i="3"/>
  <c r="H218" i="3"/>
  <c r="H217" i="3"/>
  <c r="H216" i="3"/>
  <c r="D216" i="3"/>
  <c r="H213" i="3"/>
  <c r="H215" i="3"/>
  <c r="D215" i="3"/>
  <c r="H209" i="3"/>
  <c r="D209" i="3"/>
  <c r="H212" i="3"/>
  <c r="D212" i="3"/>
  <c r="H208" i="3"/>
  <c r="D208" i="3"/>
  <c r="H211" i="3"/>
  <c r="F211" i="3"/>
  <c r="D211" i="3"/>
  <c r="H328" i="2"/>
  <c r="F328" i="2"/>
  <c r="D328" i="2"/>
  <c r="I327" i="2"/>
  <c r="G327" i="2"/>
  <c r="E327" i="2"/>
  <c r="I326" i="2"/>
  <c r="G326" i="2"/>
  <c r="E326" i="2"/>
  <c r="I324" i="2"/>
  <c r="G324" i="2"/>
  <c r="E324" i="2"/>
  <c r="I325" i="2"/>
  <c r="G325" i="2"/>
  <c r="E325" i="2"/>
  <c r="I323" i="2"/>
  <c r="G323" i="2"/>
  <c r="E323" i="2"/>
  <c r="I322" i="2"/>
  <c r="G322" i="2"/>
  <c r="E322" i="2"/>
  <c r="I316" i="2"/>
  <c r="G316" i="2"/>
  <c r="E316" i="2"/>
  <c r="I321" i="2"/>
  <c r="G321" i="2"/>
  <c r="E321" i="2"/>
  <c r="I320" i="2"/>
  <c r="G320" i="2"/>
  <c r="E320" i="2"/>
  <c r="I319" i="2"/>
  <c r="G319" i="2"/>
  <c r="E319" i="2"/>
  <c r="I315" i="2"/>
  <c r="G315" i="2"/>
  <c r="E315" i="2"/>
  <c r="I318" i="2"/>
  <c r="G318" i="2"/>
  <c r="E318" i="2"/>
  <c r="I313" i="2"/>
  <c r="G313" i="2"/>
  <c r="E313" i="2"/>
  <c r="I314" i="2"/>
  <c r="G314" i="2"/>
  <c r="E314" i="2"/>
  <c r="I312" i="2"/>
  <c r="G312" i="2"/>
  <c r="E312" i="2"/>
  <c r="I317" i="2"/>
  <c r="G317" i="2"/>
  <c r="E317" i="2"/>
  <c r="I311" i="2"/>
  <c r="G311" i="2"/>
  <c r="E311" i="2"/>
  <c r="I310" i="2"/>
  <c r="G310" i="2"/>
  <c r="E310" i="2"/>
  <c r="I309" i="2"/>
  <c r="G309" i="2"/>
  <c r="E309" i="2"/>
  <c r="I308" i="2"/>
  <c r="G308" i="2"/>
  <c r="E308" i="2"/>
  <c r="H190" i="3"/>
  <c r="F190" i="3"/>
  <c r="H193" i="3"/>
  <c r="G203" i="3"/>
  <c r="E203" i="3"/>
  <c r="C203" i="3"/>
  <c r="H202" i="3"/>
  <c r="F202" i="3"/>
  <c r="D202" i="3"/>
  <c r="H201" i="3"/>
  <c r="F201" i="3"/>
  <c r="D201" i="3"/>
  <c r="H200" i="3"/>
  <c r="F200" i="3"/>
  <c r="H199" i="3"/>
  <c r="F199" i="3"/>
  <c r="H198" i="3"/>
  <c r="F198" i="3"/>
  <c r="H197" i="3"/>
  <c r="F197" i="3"/>
  <c r="D197" i="3"/>
  <c r="H196" i="3"/>
  <c r="F196" i="3"/>
  <c r="H195" i="3"/>
  <c r="H194" i="3"/>
  <c r="F194" i="3"/>
  <c r="D194" i="3"/>
  <c r="H187" i="3"/>
  <c r="F187" i="3"/>
  <c r="D187" i="3"/>
  <c r="H192" i="3"/>
  <c r="F192" i="3"/>
  <c r="H191" i="3"/>
  <c r="F191" i="3"/>
  <c r="D191" i="3"/>
  <c r="H189" i="3"/>
  <c r="F189" i="3"/>
  <c r="D189" i="3"/>
  <c r="H186" i="3"/>
  <c r="F186" i="3"/>
  <c r="D186" i="3"/>
  <c r="H188" i="3"/>
  <c r="F188" i="3"/>
  <c r="D188" i="3"/>
  <c r="H185" i="3"/>
  <c r="F185" i="3"/>
  <c r="D185" i="3"/>
  <c r="H303" i="2"/>
  <c r="F303" i="2"/>
  <c r="D303" i="2"/>
  <c r="I302" i="2"/>
  <c r="G302" i="2"/>
  <c r="E302" i="2"/>
  <c r="I297" i="2"/>
  <c r="G297" i="2"/>
  <c r="E297" i="2"/>
  <c r="I300" i="2"/>
  <c r="G300" i="2"/>
  <c r="E300" i="2"/>
  <c r="I301" i="2"/>
  <c r="G301" i="2"/>
  <c r="E301" i="2"/>
  <c r="I296" i="2"/>
  <c r="G296" i="2"/>
  <c r="E296" i="2"/>
  <c r="I298" i="2"/>
  <c r="G298" i="2"/>
  <c r="E298" i="2"/>
  <c r="I299" i="2"/>
  <c r="G299" i="2"/>
  <c r="E299" i="2"/>
  <c r="I291" i="2"/>
  <c r="G291" i="2"/>
  <c r="E291" i="2"/>
  <c r="I293" i="2"/>
  <c r="G293" i="2"/>
  <c r="E293" i="2"/>
  <c r="I295" i="2"/>
  <c r="G295" i="2"/>
  <c r="E295" i="2"/>
  <c r="I292" i="2"/>
  <c r="G292" i="2"/>
  <c r="E292" i="2"/>
  <c r="I294" i="2"/>
  <c r="G294" i="2"/>
  <c r="E294" i="2"/>
  <c r="I290" i="2"/>
  <c r="G290" i="2"/>
  <c r="E290" i="2"/>
  <c r="I289" i="2"/>
  <c r="G289" i="2"/>
  <c r="E289" i="2"/>
  <c r="I288" i="2"/>
  <c r="G288" i="2"/>
  <c r="E288" i="2"/>
  <c r="I286" i="2"/>
  <c r="G286" i="2"/>
  <c r="E286" i="2"/>
  <c r="I285" i="2"/>
  <c r="G285" i="2"/>
  <c r="E285" i="2"/>
  <c r="I287" i="2"/>
  <c r="G287" i="2"/>
  <c r="E287" i="2"/>
  <c r="I284" i="2"/>
  <c r="G284" i="2"/>
  <c r="E284" i="2"/>
  <c r="I283" i="2"/>
  <c r="G283" i="2"/>
  <c r="E283" i="2"/>
  <c r="G179" i="3"/>
  <c r="E179" i="3"/>
  <c r="C179" i="3"/>
  <c r="H178" i="3"/>
  <c r="F178" i="3"/>
  <c r="D178" i="3"/>
  <c r="H177" i="3"/>
  <c r="F177" i="3"/>
  <c r="D177" i="3"/>
  <c r="H176" i="3"/>
  <c r="F176" i="3"/>
  <c r="H168" i="3"/>
  <c r="F168" i="3"/>
  <c r="D168" i="3"/>
  <c r="H175" i="3"/>
  <c r="F175" i="3"/>
  <c r="H174" i="3"/>
  <c r="F174" i="3"/>
  <c r="H173" i="3"/>
  <c r="F173" i="3"/>
  <c r="D173" i="3"/>
  <c r="H172" i="3"/>
  <c r="F172" i="3"/>
  <c r="H171" i="3"/>
  <c r="H167" i="3"/>
  <c r="F167" i="3"/>
  <c r="H163" i="3"/>
  <c r="F163" i="3"/>
  <c r="D163" i="3"/>
  <c r="H170" i="3"/>
  <c r="F170" i="3"/>
  <c r="D170" i="3"/>
  <c r="H166" i="3"/>
  <c r="F166" i="3"/>
  <c r="D166" i="3"/>
  <c r="H162" i="3"/>
  <c r="F162" i="3"/>
  <c r="D162" i="3"/>
  <c r="H165" i="3"/>
  <c r="F165" i="3"/>
  <c r="D165" i="3"/>
  <c r="H164" i="3"/>
  <c r="F164" i="3"/>
  <c r="D164" i="3"/>
  <c r="G277" i="2"/>
  <c r="G273" i="2"/>
  <c r="G275" i="2"/>
  <c r="G271" i="2"/>
  <c r="G272" i="2"/>
  <c r="G276" i="2"/>
  <c r="G266" i="2"/>
  <c r="G274" i="2"/>
  <c r="G267" i="2"/>
  <c r="G270" i="2"/>
  <c r="G269" i="2"/>
  <c r="G268" i="2"/>
  <c r="G265" i="2"/>
  <c r="G263" i="2"/>
  <c r="G264" i="2"/>
  <c r="G262" i="2"/>
  <c r="G261" i="2"/>
  <c r="G260" i="2"/>
  <c r="G259" i="2"/>
  <c r="G258" i="2"/>
  <c r="H278" i="2"/>
  <c r="F278" i="2"/>
  <c r="D278" i="2"/>
  <c r="I277" i="2"/>
  <c r="E277" i="2"/>
  <c r="I273" i="2"/>
  <c r="E273" i="2"/>
  <c r="I275" i="2"/>
  <c r="E275" i="2"/>
  <c r="I271" i="2"/>
  <c r="E271" i="2"/>
  <c r="I272" i="2"/>
  <c r="E272" i="2"/>
  <c r="I276" i="2"/>
  <c r="E276" i="2"/>
  <c r="I266" i="2"/>
  <c r="E266" i="2"/>
  <c r="I274" i="2"/>
  <c r="E274" i="2"/>
  <c r="I267" i="2"/>
  <c r="E267" i="2"/>
  <c r="I270" i="2"/>
  <c r="E270" i="2"/>
  <c r="I269" i="2"/>
  <c r="E269" i="2"/>
  <c r="I268" i="2"/>
  <c r="E268" i="2"/>
  <c r="I265" i="2"/>
  <c r="E265" i="2"/>
  <c r="I263" i="2"/>
  <c r="E263" i="2"/>
  <c r="I264" i="2"/>
  <c r="E264" i="2"/>
  <c r="I262" i="2"/>
  <c r="E262" i="2"/>
  <c r="I261" i="2"/>
  <c r="E261" i="2"/>
  <c r="I260" i="2"/>
  <c r="E260" i="2"/>
  <c r="I259" i="2"/>
  <c r="E259" i="2"/>
  <c r="I258" i="2"/>
  <c r="E258" i="2"/>
  <c r="H146" i="3"/>
  <c r="F146" i="3"/>
  <c r="H147" i="3"/>
  <c r="H148" i="3"/>
  <c r="F148" i="3"/>
  <c r="G156" i="3"/>
  <c r="E156" i="3"/>
  <c r="C156" i="3"/>
  <c r="H155" i="3"/>
  <c r="F155" i="3"/>
  <c r="D155" i="3"/>
  <c r="H154" i="3"/>
  <c r="F154" i="3"/>
  <c r="D154" i="3"/>
  <c r="H153" i="3"/>
  <c r="F153" i="3"/>
  <c r="H152" i="3"/>
  <c r="F152" i="3"/>
  <c r="D152" i="3"/>
  <c r="H143" i="3"/>
  <c r="F143" i="3"/>
  <c r="D143" i="3"/>
  <c r="H151" i="3"/>
  <c r="F151" i="3"/>
  <c r="H150" i="3"/>
  <c r="F150" i="3"/>
  <c r="H149" i="3"/>
  <c r="F149" i="3"/>
  <c r="D149" i="3"/>
  <c r="H142" i="3"/>
  <c r="F142" i="3"/>
  <c r="D142" i="3"/>
  <c r="H145" i="3"/>
  <c r="F145" i="3"/>
  <c r="D145" i="3"/>
  <c r="H144" i="3"/>
  <c r="F144" i="3"/>
  <c r="D144" i="3"/>
  <c r="H141" i="3"/>
  <c r="F141" i="3"/>
  <c r="D141" i="3"/>
  <c r="H140" i="3"/>
  <c r="F140" i="3"/>
  <c r="D140" i="3"/>
  <c r="H253" i="2"/>
  <c r="F253" i="2"/>
  <c r="D253" i="2"/>
  <c r="I252" i="2"/>
  <c r="G252" i="2"/>
  <c r="E252" i="2"/>
  <c r="I250" i="2"/>
  <c r="G250" i="2"/>
  <c r="E250" i="2"/>
  <c r="I248" i="2"/>
  <c r="G248" i="2"/>
  <c r="E248" i="2"/>
  <c r="I249" i="2"/>
  <c r="G249" i="2"/>
  <c r="E249" i="2"/>
  <c r="I244" i="2"/>
  <c r="G244" i="2"/>
  <c r="E244" i="2"/>
  <c r="I242" i="2"/>
  <c r="G242" i="2"/>
  <c r="E242" i="2"/>
  <c r="I247" i="2"/>
  <c r="G247" i="2"/>
  <c r="E247" i="2"/>
  <c r="I245" i="2"/>
  <c r="G245" i="2"/>
  <c r="E245" i="2"/>
  <c r="I243" i="2"/>
  <c r="G243" i="2"/>
  <c r="E243" i="2"/>
  <c r="I251" i="2"/>
  <c r="G251" i="2"/>
  <c r="E251" i="2"/>
  <c r="I246" i="2"/>
  <c r="G246" i="2"/>
  <c r="E246" i="2"/>
  <c r="I240" i="2"/>
  <c r="G240" i="2"/>
  <c r="E240" i="2"/>
  <c r="I239" i="2"/>
  <c r="G239" i="2"/>
  <c r="E239" i="2"/>
  <c r="I237" i="2"/>
  <c r="G237" i="2"/>
  <c r="E237" i="2"/>
  <c r="I241" i="2"/>
  <c r="G241" i="2"/>
  <c r="E241" i="2"/>
  <c r="I235" i="2"/>
  <c r="G235" i="2"/>
  <c r="E235" i="2"/>
  <c r="I238" i="2"/>
  <c r="G238" i="2"/>
  <c r="E238" i="2"/>
  <c r="I236" i="2"/>
  <c r="G236" i="2"/>
  <c r="E236" i="2"/>
  <c r="I234" i="2"/>
  <c r="G234" i="2"/>
  <c r="E234" i="2"/>
  <c r="I233" i="2"/>
  <c r="G233" i="2"/>
  <c r="E233" i="2"/>
  <c r="E80" i="1"/>
  <c r="G134" i="3"/>
  <c r="E134" i="3"/>
  <c r="C134" i="3"/>
  <c r="H133" i="3"/>
  <c r="F133" i="3"/>
  <c r="D133" i="3"/>
  <c r="H132" i="3"/>
  <c r="F132" i="3"/>
  <c r="D132" i="3"/>
  <c r="H131" i="3"/>
  <c r="F131" i="3"/>
  <c r="H130" i="3"/>
  <c r="F130" i="3"/>
  <c r="D130" i="3"/>
  <c r="H129" i="3"/>
  <c r="F129" i="3"/>
  <c r="D129" i="3"/>
  <c r="H128" i="3"/>
  <c r="F128" i="3"/>
  <c r="H127" i="3"/>
  <c r="F127" i="3"/>
  <c r="H125" i="3"/>
  <c r="F125" i="3"/>
  <c r="D125" i="3"/>
  <c r="H123" i="3"/>
  <c r="F123" i="3"/>
  <c r="D123" i="3"/>
  <c r="H126" i="3"/>
  <c r="F126" i="3"/>
  <c r="D126" i="3"/>
  <c r="H122" i="3"/>
  <c r="F122" i="3"/>
  <c r="D122" i="3"/>
  <c r="H121" i="3"/>
  <c r="F121" i="3"/>
  <c r="D121" i="3"/>
  <c r="H124" i="3"/>
  <c r="F124" i="3"/>
  <c r="D124" i="3"/>
  <c r="H227" i="2"/>
  <c r="F227" i="2"/>
  <c r="D227" i="2"/>
  <c r="I226" i="2"/>
  <c r="G226" i="2"/>
  <c r="E226" i="2"/>
  <c r="I219" i="2"/>
  <c r="G219" i="2"/>
  <c r="E219" i="2"/>
  <c r="I225" i="2"/>
  <c r="G225" i="2"/>
  <c r="E225" i="2"/>
  <c r="I222" i="2"/>
  <c r="G222" i="2"/>
  <c r="E222" i="2"/>
  <c r="I220" i="2"/>
  <c r="G220" i="2"/>
  <c r="E220" i="2"/>
  <c r="I224" i="2"/>
  <c r="G224" i="2"/>
  <c r="E224" i="2"/>
  <c r="I221" i="2"/>
  <c r="G221" i="2"/>
  <c r="E221" i="2"/>
  <c r="I223" i="2"/>
  <c r="G223" i="2"/>
  <c r="E223" i="2"/>
  <c r="I218" i="2"/>
  <c r="G218" i="2"/>
  <c r="E218" i="2"/>
  <c r="I216" i="2"/>
  <c r="G216" i="2"/>
  <c r="E216" i="2"/>
  <c r="I213" i="2"/>
  <c r="G213" i="2"/>
  <c r="E213" i="2"/>
  <c r="I215" i="2"/>
  <c r="G215" i="2"/>
  <c r="E215" i="2"/>
  <c r="I217" i="2"/>
  <c r="G217" i="2"/>
  <c r="E217" i="2"/>
  <c r="I211" i="2"/>
  <c r="G211" i="2"/>
  <c r="E211" i="2"/>
  <c r="I214" i="2"/>
  <c r="G214" i="2"/>
  <c r="E214" i="2"/>
  <c r="I209" i="2"/>
  <c r="G209" i="2"/>
  <c r="E209" i="2"/>
  <c r="I208" i="2"/>
  <c r="G208" i="2"/>
  <c r="E208" i="2"/>
  <c r="I210" i="2"/>
  <c r="G210" i="2"/>
  <c r="E210" i="2"/>
  <c r="I212" i="2"/>
  <c r="G212" i="2"/>
  <c r="E212" i="2"/>
  <c r="I207" i="2"/>
  <c r="G207" i="2"/>
  <c r="E207" i="2"/>
  <c r="H109" i="3"/>
  <c r="F109" i="3"/>
  <c r="G115" i="3"/>
  <c r="E115" i="3"/>
  <c r="C115" i="3"/>
  <c r="H114" i="3"/>
  <c r="F114" i="3"/>
  <c r="D114" i="3"/>
  <c r="H113" i="3"/>
  <c r="F113" i="3"/>
  <c r="D113" i="3"/>
  <c r="H105" i="3"/>
  <c r="F105" i="3"/>
  <c r="D105" i="3"/>
  <c r="H112" i="3"/>
  <c r="F112" i="3"/>
  <c r="H108" i="3"/>
  <c r="F108" i="3"/>
  <c r="H107" i="3"/>
  <c r="F107" i="3"/>
  <c r="D107" i="3"/>
  <c r="H111" i="3"/>
  <c r="F111" i="3"/>
  <c r="D111" i="3"/>
  <c r="H106" i="3"/>
  <c r="F106" i="3"/>
  <c r="D106" i="3"/>
  <c r="H110" i="3"/>
  <c r="F110" i="3"/>
  <c r="D110" i="3"/>
  <c r="H103" i="3"/>
  <c r="F103" i="3"/>
  <c r="D103" i="3"/>
  <c r="H104" i="3"/>
  <c r="F104" i="3"/>
  <c r="D104" i="3"/>
  <c r="H102" i="3"/>
  <c r="F102" i="3"/>
  <c r="D102" i="3"/>
  <c r="H201" i="2"/>
  <c r="F201" i="2"/>
  <c r="D201" i="2"/>
  <c r="I200" i="2"/>
  <c r="G200" i="2"/>
  <c r="E200" i="2"/>
  <c r="I199" i="2"/>
  <c r="G199" i="2"/>
  <c r="E199" i="2"/>
  <c r="I193" i="2"/>
  <c r="G193" i="2"/>
  <c r="E193" i="2"/>
  <c r="I197" i="2"/>
  <c r="G197" i="2"/>
  <c r="E197" i="2"/>
  <c r="I196" i="2"/>
  <c r="G196" i="2"/>
  <c r="E196" i="2"/>
  <c r="I181" i="2"/>
  <c r="G181" i="2"/>
  <c r="E181" i="2"/>
  <c r="I195" i="2"/>
  <c r="G195" i="2"/>
  <c r="E195" i="2"/>
  <c r="I191" i="2"/>
  <c r="G191" i="2"/>
  <c r="E191" i="2"/>
  <c r="I194" i="2"/>
  <c r="G194" i="2"/>
  <c r="E194" i="2"/>
  <c r="I198" i="2"/>
  <c r="G198" i="2"/>
  <c r="E198" i="2"/>
  <c r="I190" i="2"/>
  <c r="G190" i="2"/>
  <c r="E190" i="2"/>
  <c r="I188" i="2"/>
  <c r="G188" i="2"/>
  <c r="E188" i="2"/>
  <c r="I186" i="2"/>
  <c r="G186" i="2"/>
  <c r="E186" i="2"/>
  <c r="I189" i="2"/>
  <c r="G189" i="2"/>
  <c r="E189" i="2"/>
  <c r="I192" i="2"/>
  <c r="G192" i="2"/>
  <c r="E192" i="2"/>
  <c r="I187" i="2"/>
  <c r="G187" i="2"/>
  <c r="E187" i="2"/>
  <c r="I185" i="2"/>
  <c r="G185" i="2"/>
  <c r="E185" i="2"/>
  <c r="I184" i="2"/>
  <c r="G184" i="2"/>
  <c r="E184" i="2"/>
  <c r="I183" i="2"/>
  <c r="G183" i="2"/>
  <c r="E183" i="2"/>
  <c r="I182" i="2"/>
  <c r="G182" i="2"/>
  <c r="E182" i="2"/>
  <c r="D176" i="2"/>
  <c r="E175" i="2"/>
  <c r="E169" i="2"/>
  <c r="E173" i="2"/>
  <c r="E171" i="2"/>
  <c r="E168" i="2"/>
  <c r="E174" i="2"/>
  <c r="E172" i="2"/>
  <c r="E166" i="2"/>
  <c r="E165" i="2"/>
  <c r="E160" i="2"/>
  <c r="E163" i="2"/>
  <c r="E164" i="2"/>
  <c r="E170" i="2"/>
  <c r="E162" i="2"/>
  <c r="E167" i="2"/>
  <c r="E161" i="2"/>
  <c r="E157" i="2"/>
  <c r="E158" i="2"/>
  <c r="E159" i="2"/>
  <c r="E156" i="2"/>
  <c r="F91" i="3"/>
  <c r="G96" i="3"/>
  <c r="E96" i="3"/>
  <c r="C96" i="3"/>
  <c r="H95" i="3"/>
  <c r="F95" i="3"/>
  <c r="D95" i="3"/>
  <c r="H94" i="3"/>
  <c r="F94" i="3"/>
  <c r="D94" i="3"/>
  <c r="H92" i="3"/>
  <c r="F92" i="3"/>
  <c r="H93" i="3"/>
  <c r="F93" i="3"/>
  <c r="D93" i="3"/>
  <c r="H91" i="3"/>
  <c r="H87" i="3"/>
  <c r="F87" i="3"/>
  <c r="D87" i="3"/>
  <c r="H89" i="3"/>
  <c r="F89" i="3"/>
  <c r="D89" i="3"/>
  <c r="H88" i="3"/>
  <c r="F88" i="3"/>
  <c r="D88" i="3"/>
  <c r="H90" i="3"/>
  <c r="F90" i="3"/>
  <c r="D90" i="3"/>
  <c r="H85" i="3"/>
  <c r="F85" i="3"/>
  <c r="D85" i="3"/>
  <c r="H86" i="3"/>
  <c r="F86" i="3"/>
  <c r="D86" i="3"/>
  <c r="H84" i="3"/>
  <c r="F84" i="3"/>
  <c r="D84" i="3"/>
  <c r="H176" i="2"/>
  <c r="F176" i="2"/>
  <c r="I175" i="2"/>
  <c r="G175" i="2"/>
  <c r="I169" i="2"/>
  <c r="G169" i="2"/>
  <c r="I173" i="2"/>
  <c r="G173" i="2"/>
  <c r="I171" i="2"/>
  <c r="G171" i="2"/>
  <c r="I168" i="2"/>
  <c r="G168" i="2"/>
  <c r="I174" i="2"/>
  <c r="G174" i="2"/>
  <c r="I172" i="2"/>
  <c r="G172" i="2"/>
  <c r="I166" i="2"/>
  <c r="G166" i="2"/>
  <c r="I165" i="2"/>
  <c r="G165" i="2"/>
  <c r="I160" i="2"/>
  <c r="G160" i="2"/>
  <c r="I163" i="2"/>
  <c r="G163" i="2"/>
  <c r="I164" i="2"/>
  <c r="G164" i="2"/>
  <c r="I170" i="2"/>
  <c r="G170" i="2"/>
  <c r="I162" i="2"/>
  <c r="G162" i="2"/>
  <c r="I167" i="2"/>
  <c r="G167" i="2"/>
  <c r="I161" i="2"/>
  <c r="G161" i="2"/>
  <c r="I157" i="2"/>
  <c r="G157" i="2"/>
  <c r="I158" i="2"/>
  <c r="G158" i="2"/>
  <c r="I159" i="2"/>
  <c r="G159" i="2"/>
  <c r="I156" i="2"/>
  <c r="G156" i="2"/>
  <c r="H73" i="3"/>
  <c r="H77" i="3"/>
  <c r="E92" i="1"/>
  <c r="G78" i="3"/>
  <c r="E78" i="3"/>
  <c r="C78" i="3"/>
  <c r="F77" i="3"/>
  <c r="D77" i="3"/>
  <c r="H76" i="3"/>
  <c r="F76" i="3"/>
  <c r="D76" i="3"/>
  <c r="H72" i="3"/>
  <c r="F72" i="3"/>
  <c r="D72" i="3"/>
  <c r="H71" i="3"/>
  <c r="F71" i="3"/>
  <c r="D71" i="3"/>
  <c r="H75" i="3"/>
  <c r="F75" i="3"/>
  <c r="H74" i="3"/>
  <c r="F74" i="3"/>
  <c r="D74" i="3"/>
  <c r="H70" i="3"/>
  <c r="F70" i="3"/>
  <c r="D70" i="3"/>
  <c r="H67" i="3"/>
  <c r="F67" i="3"/>
  <c r="D67" i="3"/>
  <c r="H69" i="3"/>
  <c r="F69" i="3"/>
  <c r="D69" i="3"/>
  <c r="H66" i="3"/>
  <c r="F66" i="3"/>
  <c r="D66" i="3"/>
  <c r="H68" i="3"/>
  <c r="F68" i="3"/>
  <c r="D68" i="3"/>
  <c r="H151" i="2"/>
  <c r="F151" i="2"/>
  <c r="I150" i="2"/>
  <c r="G150" i="2"/>
  <c r="I146" i="2"/>
  <c r="G146" i="2"/>
  <c r="I149" i="2"/>
  <c r="G149" i="2"/>
  <c r="I148" i="2"/>
  <c r="G148" i="2"/>
  <c r="I145" i="2"/>
  <c r="G145" i="2"/>
  <c r="I144" i="2"/>
  <c r="G144" i="2"/>
  <c r="I143" i="2"/>
  <c r="G143" i="2"/>
  <c r="I147" i="2"/>
  <c r="G147" i="2"/>
  <c r="I138" i="2"/>
  <c r="G138" i="2"/>
  <c r="I140" i="2"/>
  <c r="G140" i="2"/>
  <c r="I141" i="2"/>
  <c r="G141" i="2"/>
  <c r="I139" i="2"/>
  <c r="G139" i="2"/>
  <c r="I137" i="2"/>
  <c r="G137" i="2"/>
  <c r="I142" i="2"/>
  <c r="G142" i="2"/>
  <c r="I136" i="2"/>
  <c r="G136" i="2"/>
  <c r="I135" i="2"/>
  <c r="G135" i="2"/>
  <c r="I134" i="2"/>
  <c r="G134" i="2"/>
  <c r="I132" i="2"/>
  <c r="G132" i="2"/>
  <c r="I131" i="2"/>
  <c r="G131" i="2"/>
  <c r="I133" i="2"/>
  <c r="G133" i="2"/>
  <c r="G60" i="3"/>
  <c r="E60" i="3"/>
  <c r="C60" i="3"/>
  <c r="H59" i="3"/>
  <c r="F59" i="3"/>
  <c r="D59" i="3"/>
  <c r="H58" i="3"/>
  <c r="F58" i="3"/>
  <c r="D58" i="3"/>
  <c r="H57" i="3"/>
  <c r="F57" i="3"/>
  <c r="D57" i="3"/>
  <c r="H56" i="3"/>
  <c r="F56" i="3"/>
  <c r="D56" i="3"/>
  <c r="H55" i="3"/>
  <c r="F55" i="3"/>
  <c r="H52" i="3"/>
  <c r="F52" i="3"/>
  <c r="D52" i="3"/>
  <c r="H54" i="3"/>
  <c r="F54" i="3"/>
  <c r="D54" i="3"/>
  <c r="H53" i="3"/>
  <c r="F53" i="3"/>
  <c r="D53" i="3"/>
  <c r="H51" i="3"/>
  <c r="F51" i="3"/>
  <c r="D51" i="3"/>
  <c r="H50" i="3"/>
  <c r="F50" i="3"/>
  <c r="D50" i="3"/>
  <c r="H49" i="3"/>
  <c r="F49" i="3"/>
  <c r="D49" i="3"/>
  <c r="H126" i="2"/>
  <c r="F126" i="2"/>
  <c r="I125" i="2"/>
  <c r="G125" i="2"/>
  <c r="I122" i="2"/>
  <c r="G122" i="2"/>
  <c r="I124" i="2"/>
  <c r="G124" i="2"/>
  <c r="I123" i="2"/>
  <c r="G123" i="2"/>
  <c r="I111" i="2"/>
  <c r="G111" i="2"/>
  <c r="I120" i="2"/>
  <c r="G120" i="2"/>
  <c r="I121" i="2"/>
  <c r="G121" i="2"/>
  <c r="I119" i="2"/>
  <c r="G119" i="2"/>
  <c r="I115" i="2"/>
  <c r="G115" i="2"/>
  <c r="I117" i="2"/>
  <c r="G117" i="2"/>
  <c r="I118" i="2"/>
  <c r="G118" i="2"/>
  <c r="I116" i="2"/>
  <c r="G116" i="2"/>
  <c r="I110" i="2"/>
  <c r="G110" i="2"/>
  <c r="I112" i="2"/>
  <c r="G112" i="2"/>
  <c r="I114" i="2"/>
  <c r="G114" i="2"/>
  <c r="I113" i="2"/>
  <c r="G113" i="2"/>
  <c r="I109" i="2"/>
  <c r="G109" i="2"/>
  <c r="I108" i="2"/>
  <c r="G108" i="2"/>
  <c r="I107" i="2"/>
  <c r="G107" i="2"/>
  <c r="I106" i="2"/>
  <c r="G106" i="2"/>
  <c r="H37" i="3"/>
  <c r="F37" i="3"/>
  <c r="D37" i="3"/>
  <c r="H39" i="3"/>
  <c r="F39" i="3"/>
  <c r="G44" i="3"/>
  <c r="E44" i="3"/>
  <c r="C44" i="3"/>
  <c r="H43" i="3"/>
  <c r="F43" i="3"/>
  <c r="D43" i="3"/>
  <c r="H41" i="3"/>
  <c r="F41" i="3"/>
  <c r="D41" i="3"/>
  <c r="H42" i="3"/>
  <c r="F42" i="3"/>
  <c r="D42" i="3"/>
  <c r="H40" i="3"/>
  <c r="F40" i="3"/>
  <c r="D40" i="3"/>
  <c r="H36" i="3"/>
  <c r="F36" i="3"/>
  <c r="D36" i="3"/>
  <c r="H35" i="3"/>
  <c r="F35" i="3"/>
  <c r="D35" i="3"/>
  <c r="H38" i="3"/>
  <c r="F38" i="3"/>
  <c r="D38" i="3"/>
  <c r="H34" i="3"/>
  <c r="F34" i="3"/>
  <c r="D34" i="3"/>
  <c r="H33" i="3"/>
  <c r="F33" i="3"/>
  <c r="D33" i="3"/>
  <c r="H101" i="2"/>
  <c r="F101" i="2"/>
  <c r="I100" i="2"/>
  <c r="G100" i="2"/>
  <c r="I99" i="2"/>
  <c r="G99" i="2"/>
  <c r="I98" i="2"/>
  <c r="G98" i="2"/>
  <c r="I97" i="2"/>
  <c r="G97" i="2"/>
  <c r="I93" i="2"/>
  <c r="G93" i="2"/>
  <c r="I91" i="2"/>
  <c r="G91" i="2"/>
  <c r="I96" i="2"/>
  <c r="G96" i="2"/>
  <c r="I90" i="2"/>
  <c r="G90" i="2"/>
  <c r="I87" i="2"/>
  <c r="G87" i="2"/>
  <c r="I95" i="2"/>
  <c r="G95" i="2"/>
  <c r="I88" i="2"/>
  <c r="G88" i="2"/>
  <c r="I92" i="2"/>
  <c r="G92" i="2"/>
  <c r="I86" i="2"/>
  <c r="G86" i="2"/>
  <c r="I85" i="2"/>
  <c r="G85" i="2"/>
  <c r="I89" i="2"/>
  <c r="G89" i="2"/>
  <c r="I94" i="2"/>
  <c r="G94" i="2"/>
  <c r="I84" i="2"/>
  <c r="G84" i="2"/>
  <c r="I83" i="2"/>
  <c r="G83" i="2"/>
  <c r="I82" i="2"/>
  <c r="G82" i="2"/>
  <c r="I81" i="2"/>
  <c r="G81" i="2"/>
  <c r="G28" i="3"/>
  <c r="E28" i="3"/>
  <c r="C28" i="3"/>
  <c r="H20" i="3"/>
  <c r="F20" i="3"/>
  <c r="D20" i="3"/>
  <c r="H21" i="3"/>
  <c r="F21" i="3"/>
  <c r="D21" i="3"/>
  <c r="H24" i="3"/>
  <c r="F24" i="3"/>
  <c r="D24" i="3"/>
  <c r="H19" i="3"/>
  <c r="F19" i="3"/>
  <c r="D19" i="3"/>
  <c r="H27" i="3"/>
  <c r="F27" i="3"/>
  <c r="D27" i="3"/>
  <c r="H26" i="3"/>
  <c r="F26" i="3"/>
  <c r="D26" i="3"/>
  <c r="H23" i="3"/>
  <c r="F23" i="3"/>
  <c r="D23" i="3"/>
  <c r="H22" i="3"/>
  <c r="F22" i="3"/>
  <c r="D22" i="3"/>
  <c r="H25" i="3"/>
  <c r="F25" i="3"/>
  <c r="D25" i="3"/>
  <c r="H75" i="2"/>
  <c r="F75" i="2"/>
  <c r="I74" i="2"/>
  <c r="G74" i="2"/>
  <c r="I72" i="2"/>
  <c r="G72" i="2"/>
  <c r="I73" i="2"/>
  <c r="G73" i="2"/>
  <c r="I70" i="2"/>
  <c r="G70" i="2"/>
  <c r="I71" i="2"/>
  <c r="G71" i="2"/>
  <c r="I66" i="2"/>
  <c r="G66" i="2"/>
  <c r="I63" i="2"/>
  <c r="G63" i="2"/>
  <c r="I68" i="2"/>
  <c r="G68" i="2"/>
  <c r="I69" i="2"/>
  <c r="G69" i="2"/>
  <c r="I65" i="2"/>
  <c r="G65" i="2"/>
  <c r="I64" i="2"/>
  <c r="G64" i="2"/>
  <c r="I61" i="2"/>
  <c r="G61" i="2"/>
  <c r="I60" i="2"/>
  <c r="G60" i="2"/>
  <c r="I62" i="2"/>
  <c r="G62" i="2"/>
  <c r="I67" i="2"/>
  <c r="G67" i="2"/>
  <c r="I58" i="2"/>
  <c r="G58" i="2"/>
  <c r="I59" i="2"/>
  <c r="G59" i="2"/>
  <c r="I57" i="2"/>
  <c r="G57" i="2"/>
  <c r="I56" i="2"/>
  <c r="G56" i="2"/>
  <c r="I55" i="2"/>
  <c r="G55" i="2"/>
  <c r="H13" i="3"/>
  <c r="H12" i="3"/>
  <c r="H11" i="3"/>
  <c r="H10" i="3"/>
  <c r="H9" i="3"/>
  <c r="H8" i="3"/>
  <c r="H7" i="3"/>
  <c r="H6" i="3"/>
  <c r="H5" i="3"/>
  <c r="F13" i="3"/>
  <c r="F12" i="3"/>
  <c r="F11" i="3"/>
  <c r="F10" i="3"/>
  <c r="F9" i="3"/>
  <c r="F8" i="3"/>
  <c r="F7" i="3"/>
  <c r="F6" i="3"/>
  <c r="F5" i="3"/>
  <c r="D13" i="3"/>
  <c r="D12" i="3"/>
  <c r="D11" i="3"/>
  <c r="D10" i="3"/>
  <c r="D9" i="3"/>
  <c r="D8" i="3"/>
  <c r="D7" i="3"/>
  <c r="D6" i="3"/>
  <c r="G14" i="3"/>
  <c r="E14" i="3"/>
  <c r="F50" i="2"/>
  <c r="G47" i="2"/>
  <c r="G49" i="2"/>
  <c r="G41" i="2"/>
  <c r="G48" i="2"/>
  <c r="G46" i="2"/>
  <c r="G45" i="2"/>
  <c r="G44" i="2"/>
  <c r="G40" i="2"/>
  <c r="G43" i="2"/>
  <c r="G36" i="2"/>
  <c r="G39" i="2"/>
  <c r="G35" i="2"/>
  <c r="G34" i="2"/>
  <c r="G38" i="2"/>
  <c r="G37" i="2"/>
  <c r="G33" i="2"/>
  <c r="G42" i="2"/>
  <c r="G30" i="2"/>
  <c r="G32" i="2"/>
  <c r="G31" i="2"/>
  <c r="D5" i="3"/>
  <c r="C14" i="3"/>
  <c r="N17" i="12" l="1"/>
  <c r="E380" i="2"/>
  <c r="E278" i="2"/>
  <c r="G431" i="2"/>
  <c r="G278" i="2"/>
  <c r="E457" i="2"/>
  <c r="J20" i="9"/>
  <c r="O18" i="9" s="1"/>
  <c r="F346" i="3"/>
  <c r="D346" i="3"/>
  <c r="F273" i="3"/>
  <c r="F298" i="3"/>
  <c r="G457" i="2"/>
  <c r="H346" i="3"/>
  <c r="I457" i="2"/>
  <c r="D322" i="3"/>
  <c r="E431" i="2"/>
  <c r="I431" i="2"/>
  <c r="H322" i="3"/>
  <c r="F322" i="3"/>
  <c r="D298" i="3"/>
  <c r="E406" i="2"/>
  <c r="H298" i="3"/>
  <c r="I406" i="2"/>
  <c r="G406" i="2"/>
  <c r="D273" i="3"/>
  <c r="H273" i="3"/>
  <c r="I380" i="2"/>
  <c r="G380" i="2"/>
  <c r="G101" i="2"/>
  <c r="E303" i="2"/>
  <c r="E328" i="2"/>
  <c r="D249" i="3"/>
  <c r="E354" i="2"/>
  <c r="H249" i="3"/>
  <c r="F249" i="3"/>
  <c r="I354" i="2"/>
  <c r="G354" i="2"/>
  <c r="D226" i="3"/>
  <c r="H226" i="3"/>
  <c r="F226" i="3"/>
  <c r="I328" i="2"/>
  <c r="G328" i="2"/>
  <c r="G303" i="2"/>
  <c r="D203" i="3"/>
  <c r="H203" i="3"/>
  <c r="F203" i="3"/>
  <c r="I303" i="2"/>
  <c r="F179" i="3"/>
  <c r="D179" i="3"/>
  <c r="H179" i="3"/>
  <c r="I278" i="2"/>
  <c r="E253" i="2"/>
  <c r="D156" i="3"/>
  <c r="H156" i="3"/>
  <c r="F156" i="3"/>
  <c r="I253" i="2"/>
  <c r="G253" i="2"/>
  <c r="D134" i="3"/>
  <c r="E227" i="2"/>
  <c r="H134" i="3"/>
  <c r="F134" i="3"/>
  <c r="I227" i="2"/>
  <c r="G227" i="2"/>
  <c r="G201" i="2"/>
  <c r="E201" i="2"/>
  <c r="D115" i="3"/>
  <c r="H115" i="3"/>
  <c r="F115" i="3"/>
  <c r="I201" i="2"/>
  <c r="F96" i="3"/>
  <c r="D96" i="3"/>
  <c r="E176" i="2"/>
  <c r="G176" i="2"/>
  <c r="G151" i="2"/>
  <c r="H96" i="3"/>
  <c r="I176" i="2"/>
  <c r="D78" i="3"/>
  <c r="H78" i="3"/>
  <c r="I151" i="2"/>
  <c r="F78" i="3"/>
  <c r="D60" i="3"/>
  <c r="G126" i="2"/>
  <c r="H60" i="3"/>
  <c r="F60" i="3"/>
  <c r="I126" i="2"/>
  <c r="H14" i="3"/>
  <c r="D44" i="3"/>
  <c r="H44" i="3"/>
  <c r="F44" i="3"/>
  <c r="I101" i="2"/>
  <c r="D28" i="3"/>
  <c r="H28" i="3"/>
  <c r="G75" i="2"/>
  <c r="I75" i="2"/>
  <c r="F28" i="3"/>
  <c r="F14" i="3"/>
  <c r="D14" i="3"/>
  <c r="E93" i="1"/>
  <c r="E94" i="1"/>
  <c r="H50" i="2"/>
  <c r="I47" i="2"/>
  <c r="I49" i="2"/>
  <c r="I41" i="2"/>
  <c r="I48" i="2"/>
  <c r="I46" i="2"/>
  <c r="I45" i="2"/>
  <c r="I44" i="2"/>
  <c r="I40" i="2"/>
  <c r="I43" i="2"/>
  <c r="I36" i="2"/>
  <c r="I39" i="2"/>
  <c r="I35" i="2"/>
  <c r="I34" i="2"/>
  <c r="I38" i="2"/>
  <c r="I37" i="2"/>
  <c r="I33" i="2"/>
  <c r="I42" i="2"/>
  <c r="I30" i="2"/>
  <c r="I32" i="2"/>
  <c r="I31" i="2"/>
  <c r="G50" i="2"/>
  <c r="E3" i="1"/>
  <c r="J3" i="1" s="1"/>
  <c r="E6" i="1"/>
  <c r="J6" i="1" s="1"/>
  <c r="E19" i="1"/>
  <c r="J19" i="1" s="1"/>
  <c r="E9" i="1"/>
  <c r="J9" i="1" s="1"/>
  <c r="E4" i="1"/>
  <c r="J4" i="1" s="1"/>
  <c r="E12" i="1"/>
  <c r="J12" i="1" s="1"/>
  <c r="E10" i="1"/>
  <c r="J10" i="1" s="1"/>
  <c r="E14" i="1"/>
  <c r="J14" i="1" s="1"/>
  <c r="E11" i="1"/>
  <c r="J11" i="1" s="1"/>
  <c r="E13" i="1"/>
  <c r="J13" i="1" s="1"/>
  <c r="E8" i="1"/>
  <c r="J8" i="1" s="1"/>
  <c r="E16" i="1"/>
  <c r="J16" i="1" s="1"/>
  <c r="E20" i="1"/>
  <c r="J20" i="1" s="1"/>
  <c r="E15" i="1"/>
  <c r="J15" i="1" s="1"/>
  <c r="E18" i="1"/>
  <c r="J18" i="1" s="1"/>
  <c r="E22" i="1"/>
  <c r="J22" i="1" s="1"/>
  <c r="E17" i="1"/>
  <c r="J17" i="1" s="1"/>
  <c r="E7" i="1"/>
  <c r="J7" i="1" s="1"/>
  <c r="E5" i="1"/>
  <c r="J5" i="1" s="1"/>
  <c r="D23" i="1"/>
  <c r="H24" i="2"/>
  <c r="F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C23" i="1"/>
  <c r="E76" i="1"/>
  <c r="E79" i="1"/>
  <c r="E77" i="1"/>
  <c r="E81" i="1"/>
  <c r="E68" i="1"/>
  <c r="E72" i="1"/>
  <c r="J37" i="1" s="1"/>
  <c r="E75" i="1"/>
  <c r="E67" i="1"/>
  <c r="E69" i="1"/>
  <c r="J34" i="1" s="1"/>
  <c r="E83" i="1"/>
  <c r="E74" i="1"/>
  <c r="E82" i="1"/>
  <c r="E66" i="1"/>
  <c r="E78" i="1"/>
  <c r="E84" i="1"/>
  <c r="E70" i="1"/>
  <c r="J47" i="1" s="1"/>
  <c r="E65" i="1"/>
  <c r="E71" i="1"/>
  <c r="E73" i="1"/>
  <c r="D85" i="1"/>
  <c r="J44" i="1" l="1"/>
  <c r="J41" i="1"/>
  <c r="J32" i="1"/>
  <c r="J48" i="1"/>
  <c r="J50" i="1"/>
  <c r="J46" i="1"/>
  <c r="J42" i="1"/>
  <c r="J36" i="1"/>
  <c r="J31" i="1"/>
  <c r="J49" i="1"/>
  <c r="J35" i="1"/>
  <c r="J51" i="1"/>
  <c r="J38" i="1"/>
  <c r="J30" i="1"/>
  <c r="J33" i="1"/>
  <c r="J45" i="1"/>
  <c r="J43" i="1"/>
  <c r="J40" i="1"/>
  <c r="J39" i="1"/>
  <c r="E114" i="1"/>
  <c r="I50" i="2"/>
  <c r="E85" i="1"/>
  <c r="E23" i="1"/>
  <c r="I24" i="2"/>
  <c r="G24" i="2"/>
  <c r="L21" i="1"/>
  <c r="E21" i="9" s="1"/>
  <c r="K21" i="1"/>
  <c r="D21" i="9" s="1"/>
  <c r="K17" i="1"/>
  <c r="D17" i="9" s="1"/>
  <c r="L17" i="1"/>
  <c r="E17" i="9" s="1"/>
  <c r="L13" i="1"/>
  <c r="E13" i="9" s="1"/>
  <c r="K13" i="1"/>
  <c r="D13" i="9" s="1"/>
  <c r="K9" i="1"/>
  <c r="D9" i="9" s="1"/>
  <c r="L9" i="1"/>
  <c r="E9" i="9" s="1"/>
  <c r="K5" i="1"/>
  <c r="D5" i="9" s="1"/>
  <c r="L5" i="1"/>
  <c r="E5" i="9" s="1"/>
  <c r="L19" i="1"/>
  <c r="E19" i="9" s="1"/>
  <c r="K19" i="1"/>
  <c r="D19" i="9" s="1"/>
  <c r="L15" i="1"/>
  <c r="E15" i="9" s="1"/>
  <c r="K15" i="1"/>
  <c r="D15" i="9" s="1"/>
  <c r="K11" i="1"/>
  <c r="D11" i="9" s="1"/>
  <c r="L11" i="1"/>
  <c r="E11" i="9" s="1"/>
  <c r="L7" i="1"/>
  <c r="E7" i="9" s="1"/>
  <c r="K7" i="1"/>
  <c r="D7" i="9" s="1"/>
  <c r="L3" i="1"/>
  <c r="E3" i="9" s="1"/>
  <c r="K3" i="1"/>
  <c r="D3" i="9" s="1"/>
  <c r="L22" i="1"/>
  <c r="E22" i="9" s="1"/>
  <c r="K22" i="1"/>
  <c r="D22" i="9" s="1"/>
  <c r="L18" i="1"/>
  <c r="E18" i="9" s="1"/>
  <c r="K18" i="1"/>
  <c r="D18" i="9" s="1"/>
  <c r="L14" i="1"/>
  <c r="E14" i="9" s="1"/>
  <c r="K14" i="1"/>
  <c r="D14" i="9" s="1"/>
  <c r="K10" i="1"/>
  <c r="D10" i="9" s="1"/>
  <c r="L10" i="1"/>
  <c r="E10" i="9" s="1"/>
  <c r="K6" i="1"/>
  <c r="D6" i="9" s="1"/>
  <c r="L6" i="1"/>
  <c r="E6" i="9" s="1"/>
  <c r="K20" i="1"/>
  <c r="D20" i="9" s="1"/>
  <c r="L20" i="1"/>
  <c r="E20" i="9" s="1"/>
  <c r="K16" i="1"/>
  <c r="D16" i="9" s="1"/>
  <c r="L16" i="1"/>
  <c r="E16" i="9" s="1"/>
  <c r="K12" i="1"/>
  <c r="D12" i="9" s="1"/>
  <c r="L12" i="1"/>
  <c r="E12" i="9" s="1"/>
  <c r="K8" i="1"/>
  <c r="D8" i="9" s="1"/>
  <c r="L8" i="1"/>
  <c r="E8" i="9" s="1"/>
  <c r="K4" i="1"/>
  <c r="D4" i="9" s="1"/>
  <c r="L4" i="1"/>
  <c r="AC7" i="1" l="1"/>
  <c r="J13" i="9" s="1"/>
  <c r="S20" i="9" s="1"/>
  <c r="E4" i="9"/>
  <c r="E23" i="9" s="1"/>
  <c r="D23" i="9"/>
  <c r="AB7" i="1"/>
  <c r="J6" i="9" s="1"/>
  <c r="O19" i="9" s="1"/>
</calcChain>
</file>

<file path=xl/sharedStrings.xml><?xml version="1.0" encoding="utf-8"?>
<sst xmlns="http://schemas.openxmlformats.org/spreadsheetml/2006/main" count="1297" uniqueCount="156">
  <si>
    <t>ALCALDÍA LOCAL</t>
  </si>
  <si>
    <t>2023 V*</t>
  </si>
  <si>
    <t>2023 ET*</t>
  </si>
  <si>
    <t>TOTAL</t>
  </si>
  <si>
    <t>ALCALDIA LOCAL DE CIUDAD BOLIVAR</t>
  </si>
  <si>
    <t>ALCALDIA LOCAL DE KENNEDY</t>
  </si>
  <si>
    <t>ALCALDIA LOCAL DE SUBA</t>
  </si>
  <si>
    <t>ALCALDIA LOCAL DE SANTA FE</t>
  </si>
  <si>
    <t>ALCALDIA LOCAL DE USAQUEN</t>
  </si>
  <si>
    <t>ALCALDIA LOCAL DE USME</t>
  </si>
  <si>
    <t>ALCALDIA LOCAL DE CHAPINERO</t>
  </si>
  <si>
    <t>ALCALDIA LOCAL DE CANDELARIA</t>
  </si>
  <si>
    <t>ALCALDIA LOCAL DE BOSA</t>
  </si>
  <si>
    <t>ALCALDIA LOCAL DE SAN CRISTOBAL</t>
  </si>
  <si>
    <t>ALCALDIA LOCAL DE TUNJUELITO</t>
  </si>
  <si>
    <t>ALCALDIA LOCAL DE FONTIBON</t>
  </si>
  <si>
    <t>ALCALDIA LOCAL DE TEUSAQUILLO</t>
  </si>
  <si>
    <t>ALCALDIA LOCAL DE ANTONIO NARINO</t>
  </si>
  <si>
    <t>ALCALDIA LOCAL DE ENGATIVA</t>
  </si>
  <si>
    <t>ALCALDIA LOCAL DE PUENTE ARANDA</t>
  </si>
  <si>
    <t>ALCALDIA LOCAL DE RAFAEL URIBE</t>
  </si>
  <si>
    <t>ALCALDIA LOCAL DE BARRIOS UNIDOS</t>
  </si>
  <si>
    <t>ALCALDIA LOCAL DE SUMAPAZ</t>
  </si>
  <si>
    <t>ALCALDIA LOCAL DE MARTIRES</t>
  </si>
  <si>
    <t>DEPENDENCIAS DE NIVEL CENTRAL</t>
  </si>
  <si>
    <t xml:space="preserve">DIRECCION DE GESTION DEL TALENTO HUMANO </t>
  </si>
  <si>
    <t>OFICINA DE ASUNTOS DISCIPLINARIOS</t>
  </si>
  <si>
    <t>DIRECCION JURIDICA</t>
  </si>
  <si>
    <t xml:space="preserve">DIRECCION DE CONVIVENCIA Y DIALOGO SOCIAL </t>
  </si>
  <si>
    <t>DIRECCION PARA LA GESTION DEL DESARROLLO LOCAL</t>
  </si>
  <si>
    <t xml:space="preserve">DESPACHO DEL SECRETARIO DE GOBIERNO </t>
  </si>
  <si>
    <t xml:space="preserve">SUBSECRETARIA DE GESTION LOCAL </t>
  </si>
  <si>
    <t>SUBSECRETARIA DE GESTION INSTITUCIONAL</t>
  </si>
  <si>
    <t>DIRECCION DE CONTRATACION</t>
  </si>
  <si>
    <t>SUBSECRETARIA PARA LA GOBERNABILIDAD Y LA GARANTIA DE DERECHOS</t>
  </si>
  <si>
    <t xml:space="preserve">DIRECCION FINANCIERA </t>
  </si>
  <si>
    <t>DIRECCION DE TECNOLOGIAS E INFORMACION</t>
  </si>
  <si>
    <t xml:space="preserve">OFICINA ASESORA DE COMUNICACIONES </t>
  </si>
  <si>
    <t>DIRECCION DE RELACIONES POLITICAS</t>
  </si>
  <si>
    <t>PQRS VENCIDAS SIN RESPUESTA Y PQRS VENCIDAS CON RESPUESTA EXTEMPORÁNEA</t>
  </si>
  <si>
    <t xml:space="preserve">ALCALDÍAS LOCALES </t>
  </si>
  <si>
    <t xml:space="preserve">TOTAL </t>
  </si>
  <si>
    <t xml:space="preserve">A.L. ENGATIVA </t>
  </si>
  <si>
    <t>A.L. MARTÍRES</t>
  </si>
  <si>
    <t>A.L. SAN CRISTÓBAL</t>
  </si>
  <si>
    <t>A.L. SUMAPAZ</t>
  </si>
  <si>
    <t>A.L. USME</t>
  </si>
  <si>
    <t>A.L. FONTIBÓN</t>
  </si>
  <si>
    <t>A.L. BARRIOS UNIDOS</t>
  </si>
  <si>
    <t>A.L. RAFAEL URIBE</t>
  </si>
  <si>
    <t>A.L. PUENTE ARANDA</t>
  </si>
  <si>
    <t>A.L. TEUSAQUILLO</t>
  </si>
  <si>
    <t>A.L. BOSA</t>
  </si>
  <si>
    <t>A.L. TUNJUELITO</t>
  </si>
  <si>
    <t>A.L. USAQUÉN</t>
  </si>
  <si>
    <t>A.L. SUBA</t>
  </si>
  <si>
    <t>A.L. CHAPINERO</t>
  </si>
  <si>
    <t>A.L. CANDELARIA</t>
  </si>
  <si>
    <t>A.L. SANTA FE</t>
  </si>
  <si>
    <t>A.L. CIUDAD BOLÍVAR</t>
  </si>
  <si>
    <t>DEPENDENCIAS NIVEL CENTRAL</t>
  </si>
  <si>
    <t xml:space="preserve">PENDIENTES VENCIDAS 30/12/2021 </t>
  </si>
  <si>
    <t>PENDIENTES VENCIDAS Y EXTEMPORANEAS 30/12/2022</t>
  </si>
  <si>
    <t>PENDIENTES VENCIDAS Y EXTEMPORANEAS 06/01/2023</t>
  </si>
  <si>
    <t>PENDIENTES VENCIDAS Y EXTEMPORANEAS 13/01/2023</t>
  </si>
  <si>
    <t>PENDIENTES VENCIDAS Y EXTEMPORANEAS 20/01/2023</t>
  </si>
  <si>
    <t>PENDIENTES VENCIDAS Y EXTEMPORANEAS 27/01/2023</t>
  </si>
  <si>
    <t>2022-2023</t>
  </si>
  <si>
    <t>PENDIENTES VENCIDAS Y EXTEMPORANEAS 03/02/2023</t>
  </si>
  <si>
    <t>PENDIENTES VENCIDAS Y EXTEMPORANEAS 04/02/2023</t>
  </si>
  <si>
    <t>PENDIENTES VENCIDAS Y EXTEMPORANEAS 10/02/2023</t>
  </si>
  <si>
    <t>PENDIENTES VENCIDAS 30/12/2022</t>
  </si>
  <si>
    <t>PENDIENTES VENCIDAS Y EXTEMPORANEAS 17/02/2023</t>
  </si>
  <si>
    <t>PENDIENTES VENCIDAS Y EXTEMPORANEAS 24/02/2023</t>
  </si>
  <si>
    <t>PENDIENTES VENCIDAS Y EXTEMPORANEAS 03/03/2023</t>
  </si>
  <si>
    <t>PENDIENTES VENCIDAS Y EXTEMPORANEAS 10/03/2023</t>
  </si>
  <si>
    <t>PENDIENTES VENCIDAS Y EXTEMPORANEAS 17/03/2023</t>
  </si>
  <si>
    <t>PENDIENTES VENCIDAS Y EXTEMPORANEAS 24/03/2023</t>
  </si>
  <si>
    <t>PENDIENTES VENCIDAS Y EXTEMPORANEAS 31/03/2023</t>
  </si>
  <si>
    <t>PENDIENTES VENCIDAS Y EXTEMPORANEAS 05/04/2023</t>
  </si>
  <si>
    <t>PENDIENTES VENCIDAS Y EXTEMPORANEAS 14/04/2023</t>
  </si>
  <si>
    <t>PENDIENTES VENCIDAS Y EXTEMPORANEAS 21/04/2023</t>
  </si>
  <si>
    <t>PENDIENTES VENCIDAS Y EXTEMPORANEAS 28/04/2023</t>
  </si>
  <si>
    <t>PENDIENTES VENCIDAS Y EXTEMPORANEAS 05/05/2023</t>
  </si>
  <si>
    <t>PENDIENTES VENCIDAS Y EXTEMPORANEAS 12/05/2023</t>
  </si>
  <si>
    <t>PENDIENTES VENCIDAD 30/12/2022</t>
  </si>
  <si>
    <t>SUBSECRETARÍA PARA LA GOBERNABILIDAD Y LA GARANTÍA DE DERECHOS</t>
  </si>
  <si>
    <t>OFICINA ASESORA DE COMUNICACIONES</t>
  </si>
  <si>
    <t>DESPACHO DEL SECRETARIO DE GOBIERNO</t>
  </si>
  <si>
    <t>Total general</t>
  </si>
  <si>
    <t>Etiquetas de fila</t>
  </si>
  <si>
    <t>Alertas tempranas PQRS Vencidas</t>
  </si>
  <si>
    <t>PQRS Vencidas</t>
  </si>
  <si>
    <t>A.L.  KENNEDY</t>
  </si>
  <si>
    <t>A.L. ANTONIO NARINO</t>
  </si>
  <si>
    <t>TOTAL PQRS</t>
  </si>
  <si>
    <t>Vencidas</t>
  </si>
  <si>
    <t>En Terminos</t>
  </si>
  <si>
    <t>V* Vencidas      ET* En terminos</t>
  </si>
  <si>
    <t>Suma de Vencidas</t>
  </si>
  <si>
    <t>Suma de En Terminos</t>
  </si>
  <si>
    <t>Alcaldía Local</t>
  </si>
  <si>
    <t>PQRS Vencidas sin Respuesta</t>
  </si>
  <si>
    <t xml:space="preserve"> Vencidas</t>
  </si>
  <si>
    <t xml:space="preserve"> En Terminos</t>
  </si>
  <si>
    <t>Dependencia</t>
  </si>
  <si>
    <t xml:space="preserve">SUBSECRETARIA DE GESTIÓN LOCAL </t>
  </si>
  <si>
    <t>SUBSECRETARIA DE GESTIÓN INSTITUCIONAL</t>
  </si>
  <si>
    <t>COMPARATIVO</t>
  </si>
  <si>
    <t>PQRS Vencidas 30/12/2022</t>
  </si>
  <si>
    <t>PQRS Vencidas y Extemporaneas 12/05/2023</t>
  </si>
  <si>
    <t>PQRS Vencidas y Extemporaneas 05/05/2023</t>
  </si>
  <si>
    <t>PQRS Vencidas - Comparativo por las ultimas tres semanas</t>
  </si>
  <si>
    <t>PENDIENTES VENCIDAD 5/05/2022</t>
  </si>
  <si>
    <t>PENDIENTES VENCIDAS Y EXTEMPORANEAS 26/05/2023</t>
  </si>
  <si>
    <t>PENDIENTES VENCIDAD 05/05/2022</t>
  </si>
  <si>
    <t>PQRS Vencidas Sin Respuesta Bte 02/06/2023</t>
  </si>
  <si>
    <t>PQRS Vencidas Con Respuesta Extemporánea Bte 29/05-02/06/2023</t>
  </si>
  <si>
    <t>SOLICITUDES PENDIENTES DE CIERRE BTE 02/06/2023</t>
  </si>
  <si>
    <t>PENDIENTES VENCIDAS Y EXTEMPORANEAS 02/06/2023</t>
  </si>
  <si>
    <t>PENDIENTES VENCIDAD 19/05/2022</t>
  </si>
  <si>
    <t>PENDIENTES VENCIDAS 19/05/2023</t>
  </si>
  <si>
    <t>PQRS Vencidas y Extemporaneas a 26/05/2023</t>
  </si>
  <si>
    <t>PQRS Vencidas y Extemporaneas a 02/06/2023</t>
  </si>
  <si>
    <t>Extemporaneas</t>
  </si>
  <si>
    <t>Total PQRS en Términos</t>
  </si>
  <si>
    <t xml:space="preserve"> </t>
  </si>
  <si>
    <t>SOLO DAR CLIC EN ACTUALIZAR</t>
  </si>
  <si>
    <t>Dependencia NC</t>
  </si>
  <si>
    <t>DIR. DE DERECHOS HUMANOS</t>
  </si>
  <si>
    <t>DIR. PARA LA GESTIÓN POLICIVA</t>
  </si>
  <si>
    <t>DIR. PARA LA GESTION DEL DESARROLLO LOCAL</t>
  </si>
  <si>
    <t xml:space="preserve">DIR. DE CONVIVENCIA Y DIALOGO SOCIAL </t>
  </si>
  <si>
    <t xml:space="preserve">DIR. DE GESTIÓN DEL TALENTO HUMANO </t>
  </si>
  <si>
    <t>DIR. ADMINISTRATIVA</t>
  </si>
  <si>
    <t>DIR. JURIDICA</t>
  </si>
  <si>
    <t>DIR. DE ASUNTOS ETNICOS</t>
  </si>
  <si>
    <t>DIR. DE CONTRATACIÓN</t>
  </si>
  <si>
    <t>DIR. PARA LA GESTIÓN ADMINISTRATIVA ESPECIAL DE POLICIA</t>
  </si>
  <si>
    <t xml:space="preserve">DIR. FINANCIERA </t>
  </si>
  <si>
    <t>DIR. DE TECNOLOGIAS E INFORMACIÓN</t>
  </si>
  <si>
    <t>DIR. DE RELACIONES POLITICAS</t>
  </si>
  <si>
    <t>SUBDIR. DE ASUNTOS DE LIBERTAD RELIGIOSA Y DE CONCIENCIA</t>
  </si>
  <si>
    <t>SUBDIR. DE ASUNTOS INDIGENAS Y RROM</t>
  </si>
  <si>
    <t>SUBDIR. DE ASUNTOS PARA COMUNIDADES NEGRAS, AFROCOLOMBIANAS, RAIZALES Y PALENQUERAS</t>
  </si>
  <si>
    <t>SUBDIR. DE ASUNTOS ETNICOS</t>
  </si>
  <si>
    <t>PQRS Vencidas y Extemporaneas a 19/05/2022</t>
  </si>
  <si>
    <t>PQRS Vencidas sin Respuesta Bte 02/06/2023</t>
  </si>
  <si>
    <t>PQRS Vencidas con Respuesta Extemporánea Bte 29/05-02/06/2023</t>
  </si>
  <si>
    <t>PQRS Vencidas y Extemporáneas a 19/05/2023</t>
  </si>
  <si>
    <t>PQRS Vencidas y Extemporáneas a 26/05/2023</t>
  </si>
  <si>
    <t>PQRS Vencidas y Extemporáneas a 02/06/2023</t>
  </si>
  <si>
    <t>PQRS Vencidas y Extemporáneas a 19/05/2022</t>
  </si>
  <si>
    <t>PQRS Vencidas con Respuesta Exemporánea</t>
  </si>
  <si>
    <t>Extemporáneas</t>
  </si>
  <si>
    <t>PQRS con Respuesta Exemporánea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</si>
</sst>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0"/>
      <name val="Candara"/>
      <family val="2"/>
    </font>
    <font>
      <b/>
      <sz val="11"/>
      <color rgb="FFFFFFFF"/>
      <name val="Candara"/>
      <family val="2"/>
    </font>
    <font>
      <b/>
      <sz val="11"/>
      <name val="Candara"/>
      <family val="2"/>
    </font>
    <font>
      <sz val="11"/>
      <color rgb="FF000000"/>
      <name val="Candara"/>
      <family val="2"/>
    </font>
    <font>
      <sz val="14"/>
      <color theme="0" tint="-0.499984740745262"/>
      <name val="Garamond"/>
      <family val="1"/>
    </font>
    <font>
      <b/>
      <sz val="10"/>
      <color theme="0" tint="-0.499984740745262"/>
      <name val="Garamond"/>
      <family val="1"/>
    </font>
    <font>
      <b/>
      <sz val="16"/>
      <color theme="0" tint="-0.499984740745262"/>
      <name val="Garamond"/>
      <family val="1"/>
    </font>
    <font>
      <sz val="9"/>
      <color theme="1"/>
      <name val="Garamond"/>
      <family val="1"/>
    </font>
    <font>
      <b/>
      <sz val="11"/>
      <color theme="0" tint="-0.499984740745262"/>
      <name val="Candara"/>
      <family val="2"/>
    </font>
    <font>
      <sz val="11"/>
      <color theme="1"/>
      <name val="Garamond"/>
      <family val="1"/>
    </font>
    <font>
      <b/>
      <sz val="11"/>
      <color theme="0"/>
      <name val="Garamond"/>
      <family val="1"/>
    </font>
    <font>
      <b/>
      <sz val="11"/>
      <color rgb="FF000000"/>
      <name val="Garamond"/>
      <family val="1"/>
    </font>
    <font>
      <sz val="11"/>
      <name val="Garamond"/>
      <family val="1"/>
    </font>
    <font>
      <b/>
      <sz val="11"/>
      <color theme="1"/>
      <name val="Garamond"/>
      <family val="1"/>
    </font>
    <font>
      <sz val="8"/>
      <name val="Calibri"/>
      <family val="2"/>
      <scheme val="minor"/>
    </font>
    <font>
      <b/>
      <sz val="18"/>
      <color theme="0" tint="-0.499984740745262"/>
      <name val="Garamond"/>
      <family val="1"/>
    </font>
    <font>
      <b/>
      <sz val="12"/>
      <color theme="0" tint="-0.499984740745262"/>
      <name val="Garamond"/>
      <family val="1"/>
    </font>
    <font>
      <b/>
      <sz val="10"/>
      <color theme="0"/>
      <name val="Garamond"/>
      <family val="1"/>
    </font>
    <font>
      <sz val="10"/>
      <color theme="1"/>
      <name val="Garamond"/>
      <family val="1"/>
    </font>
    <font>
      <b/>
      <sz val="24"/>
      <color theme="0"/>
      <name val="Garamond"/>
      <family val="1"/>
    </font>
    <font>
      <b/>
      <sz val="15"/>
      <name val="Garamond"/>
      <family val="1"/>
    </font>
    <font>
      <sz val="11"/>
      <name val="Calibri"/>
      <family val="2"/>
      <scheme val="minor"/>
    </font>
    <font>
      <b/>
      <sz val="20"/>
      <color theme="0"/>
      <name val="Garamond"/>
      <family val="1"/>
    </font>
    <font>
      <b/>
      <sz val="12"/>
      <color theme="0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0E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A000"/>
        <bgColor indexed="64"/>
      </patternFill>
    </fill>
    <fill>
      <patternFill patternType="solid">
        <fgColor rgb="FFAC0C10"/>
        <bgColor indexed="64"/>
      </patternFill>
    </fill>
    <fill>
      <patternFill patternType="solid">
        <fgColor rgb="FF388047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/>
      <bottom/>
      <diagonal/>
    </border>
    <border>
      <left style="thick">
        <color rgb="FFFFC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C000"/>
      </right>
      <top/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5" fillId="8" borderId="1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6" borderId="11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9" borderId="57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0" fillId="10" borderId="0" xfId="0" applyFill="1"/>
    <xf numFmtId="0" fontId="4" fillId="6" borderId="39" xfId="0" applyFont="1" applyFill="1" applyBorder="1" applyAlignment="1">
      <alignment vertical="center"/>
    </xf>
    <xf numFmtId="0" fontId="7" fillId="10" borderId="69" xfId="0" applyFont="1" applyFill="1" applyBorder="1"/>
    <xf numFmtId="0" fontId="7" fillId="10" borderId="0" xfId="0" applyFont="1" applyFill="1"/>
    <xf numFmtId="0" fontId="11" fillId="10" borderId="0" xfId="0" applyFont="1" applyFill="1" applyAlignment="1">
      <alignment vertical="center" readingOrder="1"/>
    </xf>
    <xf numFmtId="1" fontId="12" fillId="4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vertical="center" wrapText="1" readingOrder="1"/>
    </xf>
    <xf numFmtId="0" fontId="12" fillId="0" borderId="0" xfId="0" applyFont="1"/>
    <xf numFmtId="0" fontId="13" fillId="5" borderId="9" xfId="0" applyFont="1" applyFill="1" applyBorder="1" applyAlignment="1">
      <alignment horizontal="center" vertical="center" wrapText="1" readingOrder="1"/>
    </xf>
    <xf numFmtId="0" fontId="13" fillId="5" borderId="1" xfId="0" applyFont="1" applyFill="1" applyBorder="1" applyAlignment="1">
      <alignment horizontal="center" vertical="center" readingOrder="1"/>
    </xf>
    <xf numFmtId="0" fontId="13" fillId="5" borderId="49" xfId="0" applyFont="1" applyFill="1" applyBorder="1" applyAlignment="1">
      <alignment horizontal="center" vertical="center" readingOrder="1"/>
    </xf>
    <xf numFmtId="1" fontId="13" fillId="5" borderId="73" xfId="0" applyNumberFormat="1" applyFont="1" applyFill="1" applyBorder="1" applyAlignment="1">
      <alignment horizontal="center" vertical="center" readingOrder="1"/>
    </xf>
    <xf numFmtId="0" fontId="12" fillId="0" borderId="0" xfId="0" pivotButton="1" applyFont="1"/>
    <xf numFmtId="0" fontId="12" fillId="11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22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readingOrder="1"/>
    </xf>
    <xf numFmtId="1" fontId="14" fillId="2" borderId="1" xfId="0" applyNumberFormat="1" applyFont="1" applyFill="1" applyBorder="1" applyAlignment="1">
      <alignment horizontal="center" vertical="center" readingOrder="1"/>
    </xf>
    <xf numFmtId="0" fontId="13" fillId="5" borderId="63" xfId="0" applyFont="1" applyFill="1" applyBorder="1" applyAlignment="1">
      <alignment horizontal="center" vertical="center" readingOrder="1"/>
    </xf>
    <xf numFmtId="0" fontId="13" fillId="5" borderId="31" xfId="0" applyFont="1" applyFill="1" applyBorder="1" applyAlignment="1">
      <alignment horizontal="center" vertical="center" readingOrder="1"/>
    </xf>
    <xf numFmtId="0" fontId="13" fillId="5" borderId="32" xfId="0" applyFont="1" applyFill="1" applyBorder="1" applyAlignment="1">
      <alignment horizontal="center" vertical="center" readingOrder="1"/>
    </xf>
    <xf numFmtId="0" fontId="12" fillId="0" borderId="26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readingOrder="1"/>
    </xf>
    <xf numFmtId="0" fontId="14" fillId="2" borderId="31" xfId="0" applyFont="1" applyFill="1" applyBorder="1" applyAlignment="1">
      <alignment horizontal="center" vertical="center" readingOrder="1"/>
    </xf>
    <xf numFmtId="0" fontId="14" fillId="2" borderId="32" xfId="0" applyFont="1" applyFill="1" applyBorder="1" applyAlignment="1">
      <alignment horizontal="center" vertical="center" readingOrder="1"/>
    </xf>
    <xf numFmtId="0" fontId="13" fillId="0" borderId="0" xfId="0" applyFont="1" applyAlignment="1">
      <alignment horizontal="center" vertical="center" readingOrder="1"/>
    </xf>
    <xf numFmtId="1" fontId="13" fillId="5" borderId="16" xfId="0" applyNumberFormat="1" applyFont="1" applyFill="1" applyBorder="1" applyAlignment="1">
      <alignment horizontal="center" vertical="center" wrapText="1" readingOrder="1"/>
    </xf>
    <xf numFmtId="1" fontId="13" fillId="5" borderId="59" xfId="0" applyNumberFormat="1" applyFont="1" applyFill="1" applyBorder="1" applyAlignment="1">
      <alignment horizontal="center" vertical="center" wrapText="1" readingOrder="1"/>
    </xf>
    <xf numFmtId="1" fontId="13" fillId="5" borderId="17" xfId="0" applyNumberFormat="1" applyFont="1" applyFill="1" applyBorder="1" applyAlignment="1">
      <alignment horizontal="center" vertical="center" wrapText="1" readingOrder="1"/>
    </xf>
    <xf numFmtId="1" fontId="12" fillId="4" borderId="2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/>
    </xf>
    <xf numFmtId="1" fontId="16" fillId="2" borderId="31" xfId="0" applyNumberFormat="1" applyFont="1" applyFill="1" applyBorder="1" applyAlignment="1">
      <alignment horizontal="center"/>
    </xf>
    <xf numFmtId="1" fontId="16" fillId="2" borderId="3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" fontId="13" fillId="5" borderId="64" xfId="0" applyNumberFormat="1" applyFont="1" applyFill="1" applyBorder="1" applyAlignment="1">
      <alignment horizontal="center" vertical="center" wrapText="1" readingOrder="1"/>
    </xf>
    <xf numFmtId="1" fontId="13" fillId="0" borderId="0" xfId="0" applyNumberFormat="1" applyFont="1" applyAlignment="1">
      <alignment horizontal="center" vertical="center" wrapText="1" readingOrder="1"/>
    </xf>
    <xf numFmtId="0" fontId="16" fillId="2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1" fontId="12" fillId="0" borderId="2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9" fontId="13" fillId="5" borderId="73" xfId="0" applyNumberFormat="1" applyFont="1" applyFill="1" applyBorder="1" applyAlignment="1">
      <alignment horizontal="center" vertical="center" readingOrder="1"/>
    </xf>
    <xf numFmtId="49" fontId="13" fillId="5" borderId="49" xfId="0" applyNumberFormat="1" applyFont="1" applyFill="1" applyBorder="1" applyAlignment="1">
      <alignment horizontal="center" vertical="center" readingOrder="1"/>
    </xf>
    <xf numFmtId="49" fontId="13" fillId="5" borderId="1" xfId="0" applyNumberFormat="1" applyFont="1" applyFill="1" applyBorder="1" applyAlignment="1">
      <alignment horizontal="center" vertical="center" readingOrder="1"/>
    </xf>
    <xf numFmtId="1" fontId="12" fillId="0" borderId="1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6" fillId="0" borderId="33" xfId="0" applyNumberFormat="1" applyFont="1" applyBorder="1" applyAlignment="1">
      <alignment horizontal="center" vertical="center"/>
    </xf>
    <xf numFmtId="1" fontId="6" fillId="0" borderId="58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2" fillId="0" borderId="58" xfId="0" applyNumberFormat="1" applyFont="1" applyBorder="1" applyAlignment="1">
      <alignment horizontal="center"/>
    </xf>
    <xf numFmtId="0" fontId="0" fillId="10" borderId="74" xfId="0" applyFill="1" applyBorder="1" applyAlignment="1">
      <alignment horizontal="center"/>
    </xf>
    <xf numFmtId="0" fontId="0" fillId="10" borderId="75" xfId="0" applyFill="1" applyBorder="1" applyAlignment="1">
      <alignment horizontal="center"/>
    </xf>
    <xf numFmtId="0" fontId="3" fillId="5" borderId="39" xfId="0" applyFont="1" applyFill="1" applyBorder="1" applyAlignment="1">
      <alignment vertical="center" wrapText="1" readingOrder="1"/>
    </xf>
    <xf numFmtId="0" fontId="3" fillId="5" borderId="1" xfId="0" applyFont="1" applyFill="1" applyBorder="1" applyAlignment="1">
      <alignment horizontal="center" vertical="center" readingOrder="1"/>
    </xf>
    <xf numFmtId="0" fontId="9" fillId="10" borderId="0" xfId="0" applyFont="1" applyFill="1" applyAlignment="1">
      <alignment horizontal="left" vertical="center"/>
    </xf>
    <xf numFmtId="49" fontId="13" fillId="5" borderId="84" xfId="0" applyNumberFormat="1" applyFont="1" applyFill="1" applyBorder="1" applyAlignment="1">
      <alignment horizontal="center" vertical="center" readingOrder="1"/>
    </xf>
    <xf numFmtId="1" fontId="12" fillId="0" borderId="49" xfId="0" applyNumberFormat="1" applyFont="1" applyBorder="1" applyAlignment="1">
      <alignment horizontal="center"/>
    </xf>
    <xf numFmtId="1" fontId="13" fillId="5" borderId="88" xfId="0" applyNumberFormat="1" applyFont="1" applyFill="1" applyBorder="1" applyAlignment="1">
      <alignment horizontal="center" vertical="center" readingOrder="1"/>
    </xf>
    <xf numFmtId="1" fontId="12" fillId="0" borderId="89" xfId="0" applyNumberFormat="1" applyFont="1" applyBorder="1" applyAlignment="1">
      <alignment horizontal="center" vertical="center"/>
    </xf>
    <xf numFmtId="1" fontId="12" fillId="0" borderId="90" xfId="0" applyNumberFormat="1" applyFont="1" applyBorder="1" applyAlignment="1">
      <alignment horizontal="center" vertical="center"/>
    </xf>
    <xf numFmtId="1" fontId="12" fillId="0" borderId="91" xfId="0" applyNumberFormat="1" applyFont="1" applyBorder="1" applyAlignment="1">
      <alignment horizontal="center" vertical="center"/>
    </xf>
    <xf numFmtId="1" fontId="12" fillId="0" borderId="92" xfId="0" applyNumberFormat="1" applyFont="1" applyBorder="1" applyAlignment="1">
      <alignment horizontal="center" vertical="center"/>
    </xf>
    <xf numFmtId="1" fontId="12" fillId="0" borderId="93" xfId="0" applyNumberFormat="1" applyFont="1" applyBorder="1" applyAlignment="1">
      <alignment horizontal="center" vertical="center"/>
    </xf>
    <xf numFmtId="1" fontId="12" fillId="0" borderId="94" xfId="0" applyNumberFormat="1" applyFont="1" applyBorder="1" applyAlignment="1">
      <alignment horizontal="center" vertical="center"/>
    </xf>
    <xf numFmtId="1" fontId="12" fillId="0" borderId="95" xfId="0" applyNumberFormat="1" applyFont="1" applyBorder="1" applyAlignment="1">
      <alignment horizontal="center" vertical="center"/>
    </xf>
    <xf numFmtId="1" fontId="12" fillId="0" borderId="1" xfId="0" applyNumberFormat="1" applyFont="1" applyBorder="1"/>
    <xf numFmtId="0" fontId="13" fillId="5" borderId="73" xfId="0" applyFont="1" applyFill="1" applyBorder="1" applyAlignment="1">
      <alignment horizontal="center" vertical="center" readingOrder="1"/>
    </xf>
    <xf numFmtId="0" fontId="20" fillId="5" borderId="2" xfId="0" applyFont="1" applyFill="1" applyBorder="1" applyAlignment="1">
      <alignment horizontal="center" vertical="center" readingOrder="1"/>
    </xf>
    <xf numFmtId="0" fontId="20" fillId="5" borderId="1" xfId="0" applyFont="1" applyFill="1" applyBorder="1" applyAlignment="1">
      <alignment horizontal="center" vertical="center" readingOrder="1"/>
    </xf>
    <xf numFmtId="1" fontId="21" fillId="10" borderId="1" xfId="0" applyNumberFormat="1" applyFont="1" applyFill="1" applyBorder="1" applyAlignment="1">
      <alignment horizontal="center" vertical="center"/>
    </xf>
    <xf numFmtId="0" fontId="12" fillId="10" borderId="0" xfId="0" applyFont="1" applyFill="1"/>
    <xf numFmtId="0" fontId="12" fillId="10" borderId="0" xfId="0" applyFont="1" applyFill="1" applyAlignment="1">
      <alignment vertical="justify" wrapText="1"/>
    </xf>
    <xf numFmtId="0" fontId="23" fillId="10" borderId="0" xfId="0" applyFont="1" applyFill="1" applyAlignment="1">
      <alignment horizontal="left"/>
    </xf>
    <xf numFmtId="0" fontId="23" fillId="10" borderId="0" xfId="0" applyFont="1" applyFill="1" applyAlignment="1">
      <alignment horizontal="center"/>
    </xf>
    <xf numFmtId="0" fontId="0" fillId="10" borderId="1" xfId="0" applyFill="1" applyBorder="1"/>
    <xf numFmtId="0" fontId="0" fillId="0" borderId="0" xfId="0" pivotButton="1"/>
    <xf numFmtId="0" fontId="5" fillId="10" borderId="0" xfId="0" applyFont="1" applyFill="1" applyAlignment="1">
      <alignment vertical="center" readingOrder="1"/>
    </xf>
    <xf numFmtId="1" fontId="24" fillId="10" borderId="0" xfId="0" applyNumberFormat="1" applyFont="1" applyFill="1"/>
    <xf numFmtId="1" fontId="0" fillId="0" borderId="0" xfId="0" applyNumberFormat="1"/>
    <xf numFmtId="1" fontId="12" fillId="11" borderId="1" xfId="0" applyNumberFormat="1" applyFont="1" applyFill="1" applyBorder="1"/>
    <xf numFmtId="0" fontId="12" fillId="0" borderId="25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6" fillId="0" borderId="0" xfId="0" applyFont="1"/>
    <xf numFmtId="0" fontId="9" fillId="10" borderId="0" xfId="0" applyFont="1" applyFill="1" applyAlignment="1">
      <alignment vertical="center"/>
    </xf>
    <xf numFmtId="0" fontId="12" fillId="11" borderId="1" xfId="0" applyFont="1" applyFill="1" applyBorder="1" applyAlignment="1">
      <alignment horizontal="right"/>
    </xf>
    <xf numFmtId="0" fontId="12" fillId="0" borderId="22" xfId="0" applyFont="1" applyBorder="1" applyAlignment="1">
      <alignment horizontal="left"/>
    </xf>
    <xf numFmtId="0" fontId="13" fillId="5" borderId="8" xfId="0" applyFont="1" applyFill="1" applyBorder="1" applyAlignment="1">
      <alignment horizontal="center" vertical="center" readingOrder="1"/>
    </xf>
    <xf numFmtId="0" fontId="13" fillId="5" borderId="7" xfId="0" applyFont="1" applyFill="1" applyBorder="1" applyAlignment="1">
      <alignment horizontal="center" vertical="center" readingOrder="1"/>
    </xf>
    <xf numFmtId="0" fontId="13" fillId="5" borderId="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2" fillId="12" borderId="85" xfId="0" applyFont="1" applyFill="1" applyBorder="1" applyAlignment="1">
      <alignment horizontal="center"/>
    </xf>
    <xf numFmtId="0" fontId="12" fillId="12" borderId="86" xfId="0" applyFont="1" applyFill="1" applyBorder="1" applyAlignment="1">
      <alignment horizontal="center"/>
    </xf>
    <xf numFmtId="0" fontId="12" fillId="12" borderId="87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 vertical="center" wrapText="1" readingOrder="1"/>
    </xf>
    <xf numFmtId="0" fontId="3" fillId="5" borderId="40" xfId="0" applyFont="1" applyFill="1" applyBorder="1" applyAlignment="1">
      <alignment horizontal="center" vertical="center" wrapText="1" readingOrder="1"/>
    </xf>
    <xf numFmtId="0" fontId="8" fillId="10" borderId="0" xfId="0" applyFont="1" applyFill="1" applyAlignment="1">
      <alignment horizontal="left"/>
    </xf>
    <xf numFmtId="0" fontId="9" fillId="10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/>
    </xf>
    <xf numFmtId="0" fontId="13" fillId="14" borderId="76" xfId="0" applyFont="1" applyFill="1" applyBorder="1" applyAlignment="1">
      <alignment horizontal="center" vertical="center" wrapText="1"/>
    </xf>
    <xf numFmtId="0" fontId="13" fillId="14" borderId="77" xfId="0" applyFont="1" applyFill="1" applyBorder="1" applyAlignment="1">
      <alignment horizontal="center" vertical="center" wrapText="1"/>
    </xf>
    <xf numFmtId="0" fontId="13" fillId="14" borderId="78" xfId="0" applyFont="1" applyFill="1" applyBorder="1" applyAlignment="1">
      <alignment horizontal="center" vertical="center" wrapText="1"/>
    </xf>
    <xf numFmtId="0" fontId="13" fillId="14" borderId="79" xfId="0" applyFont="1" applyFill="1" applyBorder="1" applyAlignment="1">
      <alignment horizontal="center" vertical="center" wrapText="1"/>
    </xf>
    <xf numFmtId="0" fontId="13" fillId="14" borderId="0" xfId="0" applyFont="1" applyFill="1" applyAlignment="1">
      <alignment horizontal="center" vertical="center" wrapText="1"/>
    </xf>
    <xf numFmtId="0" fontId="13" fillId="14" borderId="80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left"/>
    </xf>
    <xf numFmtId="0" fontId="21" fillId="10" borderId="7" xfId="0" applyFont="1" applyFill="1" applyBorder="1" applyAlignment="1">
      <alignment horizontal="left"/>
    </xf>
    <xf numFmtId="0" fontId="22" fillId="14" borderId="79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2" fillId="14" borderId="80" xfId="0" applyFont="1" applyFill="1" applyBorder="1" applyAlignment="1">
      <alignment horizontal="center" vertical="center" wrapText="1"/>
    </xf>
    <xf numFmtId="0" fontId="22" fillId="14" borderId="81" xfId="0" applyFont="1" applyFill="1" applyBorder="1" applyAlignment="1">
      <alignment horizontal="center" vertical="center" wrapText="1"/>
    </xf>
    <xf numFmtId="0" fontId="22" fillId="14" borderId="82" xfId="0" applyFont="1" applyFill="1" applyBorder="1" applyAlignment="1">
      <alignment horizontal="center" vertical="center" wrapText="1"/>
    </xf>
    <xf numFmtId="0" fontId="22" fillId="14" borderId="83" xfId="0" applyFont="1" applyFill="1" applyBorder="1" applyAlignment="1">
      <alignment horizontal="center" vertical="center" wrapText="1"/>
    </xf>
    <xf numFmtId="0" fontId="13" fillId="13" borderId="76" xfId="0" applyFont="1" applyFill="1" applyBorder="1" applyAlignment="1">
      <alignment horizontal="center" vertical="center" wrapText="1"/>
    </xf>
    <xf numFmtId="0" fontId="13" fillId="13" borderId="77" xfId="0" applyFont="1" applyFill="1" applyBorder="1" applyAlignment="1">
      <alignment horizontal="center" vertical="center" wrapText="1"/>
    </xf>
    <xf numFmtId="0" fontId="13" fillId="13" borderId="78" xfId="0" applyFont="1" applyFill="1" applyBorder="1" applyAlignment="1">
      <alignment horizontal="center" vertical="center" wrapText="1"/>
    </xf>
    <xf numFmtId="0" fontId="13" fillId="13" borderId="79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3" borderId="80" xfId="0" applyFont="1" applyFill="1" applyBorder="1" applyAlignment="1">
      <alignment horizontal="center" vertical="center" wrapText="1"/>
    </xf>
    <xf numFmtId="0" fontId="22" fillId="13" borderId="79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80" xfId="0" applyFont="1" applyFill="1" applyBorder="1" applyAlignment="1">
      <alignment horizontal="center" vertical="center" wrapText="1"/>
    </xf>
    <xf numFmtId="0" fontId="22" fillId="13" borderId="81" xfId="0" applyFont="1" applyFill="1" applyBorder="1" applyAlignment="1">
      <alignment horizontal="center" vertical="center" wrapText="1"/>
    </xf>
    <xf numFmtId="0" fontId="22" fillId="13" borderId="82" xfId="0" applyFont="1" applyFill="1" applyBorder="1" applyAlignment="1">
      <alignment horizontal="center" vertical="center" wrapText="1"/>
    </xf>
    <xf numFmtId="0" fontId="22" fillId="13" borderId="83" xfId="0" applyFont="1" applyFill="1" applyBorder="1" applyAlignment="1">
      <alignment horizontal="center" vertical="center" wrapText="1"/>
    </xf>
    <xf numFmtId="0" fontId="13" fillId="15" borderId="76" xfId="0" applyFont="1" applyFill="1" applyBorder="1" applyAlignment="1">
      <alignment horizontal="center" vertical="center" wrapText="1"/>
    </xf>
    <xf numFmtId="0" fontId="13" fillId="15" borderId="77" xfId="0" applyFont="1" applyFill="1" applyBorder="1" applyAlignment="1">
      <alignment horizontal="center" vertical="center" wrapText="1"/>
    </xf>
    <xf numFmtId="0" fontId="13" fillId="15" borderId="78" xfId="0" applyFont="1" applyFill="1" applyBorder="1" applyAlignment="1">
      <alignment horizontal="center" vertical="center" wrapText="1"/>
    </xf>
    <xf numFmtId="0" fontId="13" fillId="15" borderId="79" xfId="0" applyFont="1" applyFill="1" applyBorder="1" applyAlignment="1">
      <alignment horizontal="center" vertical="center" wrapText="1"/>
    </xf>
    <xf numFmtId="0" fontId="13" fillId="15" borderId="0" xfId="0" applyFont="1" applyFill="1" applyAlignment="1">
      <alignment horizontal="center" vertical="center" wrapText="1"/>
    </xf>
    <xf numFmtId="0" fontId="13" fillId="15" borderId="80" xfId="0" applyFont="1" applyFill="1" applyBorder="1" applyAlignment="1">
      <alignment horizontal="center" vertical="center" wrapText="1"/>
    </xf>
    <xf numFmtId="0" fontId="22" fillId="15" borderId="79" xfId="0" applyFont="1" applyFill="1" applyBorder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2" fillId="15" borderId="80" xfId="0" applyFont="1" applyFill="1" applyBorder="1" applyAlignment="1">
      <alignment horizontal="center" vertical="center" wrapText="1"/>
    </xf>
    <xf numFmtId="0" fontId="22" fillId="15" borderId="81" xfId="0" applyFont="1" applyFill="1" applyBorder="1" applyAlignment="1">
      <alignment horizontal="center" vertical="center" wrapText="1"/>
    </xf>
    <xf numFmtId="0" fontId="22" fillId="15" borderId="82" xfId="0" applyFont="1" applyFill="1" applyBorder="1" applyAlignment="1">
      <alignment horizontal="center" vertical="center" wrapText="1"/>
    </xf>
    <xf numFmtId="0" fontId="22" fillId="15" borderId="83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readingOrder="1"/>
    </xf>
    <xf numFmtId="0" fontId="20" fillId="5" borderId="7" xfId="0" applyFont="1" applyFill="1" applyBorder="1" applyAlignment="1">
      <alignment horizontal="center" vertical="center" readingOrder="1"/>
    </xf>
    <xf numFmtId="0" fontId="20" fillId="5" borderId="66" xfId="0" applyFont="1" applyFill="1" applyBorder="1" applyAlignment="1">
      <alignment horizontal="center" vertical="center" readingOrder="1"/>
    </xf>
    <xf numFmtId="0" fontId="20" fillId="5" borderId="6" xfId="0" applyFont="1" applyFill="1" applyBorder="1" applyAlignment="1">
      <alignment horizontal="center" vertical="center" readingOrder="1"/>
    </xf>
    <xf numFmtId="0" fontId="9" fillId="10" borderId="0" xfId="0" applyFont="1" applyFill="1" applyAlignment="1">
      <alignment horizontal="left" vertical="top" wrapText="1"/>
    </xf>
    <xf numFmtId="0" fontId="13" fillId="14" borderId="67" xfId="0" applyFont="1" applyFill="1" applyBorder="1" applyAlignment="1">
      <alignment horizontal="center" vertical="center" wrapText="1"/>
    </xf>
    <xf numFmtId="0" fontId="13" fillId="14" borderId="68" xfId="0" applyFont="1" applyFill="1" applyBorder="1" applyAlignment="1">
      <alignment horizontal="center" vertical="center" wrapText="1"/>
    </xf>
    <xf numFmtId="0" fontId="13" fillId="14" borderId="70" xfId="0" applyFont="1" applyFill="1" applyBorder="1" applyAlignment="1">
      <alignment horizontal="center" vertical="center" wrapText="1"/>
    </xf>
    <xf numFmtId="0" fontId="25" fillId="14" borderId="0" xfId="0" applyFont="1" applyFill="1" applyAlignment="1">
      <alignment horizontal="center" vertical="center" wrapText="1"/>
    </xf>
    <xf numFmtId="0" fontId="25" fillId="14" borderId="70" xfId="0" applyFont="1" applyFill="1" applyBorder="1" applyAlignment="1">
      <alignment horizontal="center" vertical="center" wrapText="1"/>
    </xf>
    <xf numFmtId="0" fontId="25" fillId="14" borderId="71" xfId="0" applyFont="1" applyFill="1" applyBorder="1" applyAlignment="1">
      <alignment horizontal="center" vertical="center" wrapText="1"/>
    </xf>
    <xf numFmtId="0" fontId="25" fillId="14" borderId="72" xfId="0" applyFont="1" applyFill="1" applyBorder="1" applyAlignment="1">
      <alignment horizontal="center" vertical="center" wrapText="1"/>
    </xf>
    <xf numFmtId="0" fontId="13" fillId="13" borderId="67" xfId="0" applyFont="1" applyFill="1" applyBorder="1" applyAlignment="1">
      <alignment horizontal="center" vertical="center" wrapText="1"/>
    </xf>
    <xf numFmtId="0" fontId="13" fillId="13" borderId="68" xfId="0" applyFont="1" applyFill="1" applyBorder="1" applyAlignment="1">
      <alignment horizontal="center" vertical="center" wrapText="1"/>
    </xf>
    <xf numFmtId="0" fontId="13" fillId="13" borderId="70" xfId="0" applyFont="1" applyFill="1" applyBorder="1" applyAlignment="1">
      <alignment horizontal="center" vertical="center" wrapText="1"/>
    </xf>
    <xf numFmtId="0" fontId="25" fillId="13" borderId="0" xfId="0" applyFont="1" applyFill="1" applyAlignment="1">
      <alignment horizontal="center" vertical="center" wrapText="1"/>
    </xf>
    <xf numFmtId="0" fontId="25" fillId="13" borderId="70" xfId="0" applyFont="1" applyFill="1" applyBorder="1" applyAlignment="1">
      <alignment horizontal="center" vertical="center" wrapText="1"/>
    </xf>
    <xf numFmtId="0" fontId="25" fillId="13" borderId="71" xfId="0" applyFont="1" applyFill="1" applyBorder="1" applyAlignment="1">
      <alignment horizontal="center" vertical="center" wrapText="1"/>
    </xf>
    <xf numFmtId="0" fontId="25" fillId="13" borderId="72" xfId="0" applyFont="1" applyFill="1" applyBorder="1" applyAlignment="1">
      <alignment horizontal="center" vertical="center" wrapText="1"/>
    </xf>
    <xf numFmtId="0" fontId="25" fillId="15" borderId="0" xfId="0" applyFont="1" applyFill="1" applyAlignment="1">
      <alignment horizontal="center" vertical="center" wrapText="1"/>
    </xf>
    <xf numFmtId="0" fontId="25" fillId="15" borderId="70" xfId="0" applyFont="1" applyFill="1" applyBorder="1" applyAlignment="1">
      <alignment horizontal="center" vertical="center" wrapText="1"/>
    </xf>
    <xf numFmtId="0" fontId="25" fillId="15" borderId="71" xfId="0" applyFont="1" applyFill="1" applyBorder="1" applyAlignment="1">
      <alignment horizontal="center" vertical="center" wrapText="1"/>
    </xf>
    <xf numFmtId="0" fontId="25" fillId="15" borderId="72" xfId="0" applyFont="1" applyFill="1" applyBorder="1" applyAlignment="1">
      <alignment horizontal="center" vertical="center" wrapText="1"/>
    </xf>
    <xf numFmtId="0" fontId="26" fillId="15" borderId="67" xfId="0" applyFont="1" applyFill="1" applyBorder="1" applyAlignment="1">
      <alignment horizontal="center" vertical="center" wrapText="1"/>
    </xf>
    <xf numFmtId="0" fontId="26" fillId="15" borderId="68" xfId="0" applyFont="1" applyFill="1" applyBorder="1" applyAlignment="1">
      <alignment horizontal="center" vertical="center" wrapText="1"/>
    </xf>
    <xf numFmtId="0" fontId="26" fillId="15" borderId="0" xfId="0" applyFont="1" applyFill="1" applyAlignment="1">
      <alignment horizontal="center" vertical="center" wrapText="1"/>
    </xf>
    <xf numFmtId="0" fontId="26" fillId="15" borderId="70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" fillId="5" borderId="49" xfId="0" applyFont="1" applyFill="1" applyBorder="1" applyAlignment="1">
      <alignment horizontal="center" vertical="center" readingOrder="1"/>
    </xf>
    <xf numFmtId="0" fontId="3" fillId="5" borderId="7" xfId="0" applyFont="1" applyFill="1" applyBorder="1" applyAlignment="1">
      <alignment horizontal="center" vertical="center" readingOrder="1"/>
    </xf>
    <xf numFmtId="0" fontId="19" fillId="10" borderId="0" xfId="0" applyFont="1" applyFill="1" applyAlignment="1">
      <alignment horizontal="left"/>
    </xf>
    <xf numFmtId="0" fontId="18" fillId="10" borderId="0" xfId="0" applyFont="1" applyFill="1" applyAlignment="1">
      <alignment horizontal="center" vertical="top"/>
    </xf>
    <xf numFmtId="0" fontId="3" fillId="5" borderId="66" xfId="0" applyFont="1" applyFill="1" applyBorder="1" applyAlignment="1">
      <alignment horizontal="center" vertical="center" readingOrder="1"/>
    </xf>
    <xf numFmtId="0" fontId="3" fillId="5" borderId="6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5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AE2838"/>
        </patternFill>
      </fill>
    </dxf>
    <dxf>
      <fill>
        <patternFill>
          <bgColor theme="4" tint="0.39994506668294322"/>
        </patternFill>
      </fill>
    </dxf>
    <dxf>
      <fill>
        <patternFill>
          <bgColor rgb="FFAE2838"/>
        </patternFill>
      </fill>
    </dxf>
    <dxf>
      <fill>
        <patternFill>
          <bgColor theme="4" tint="0.39994506668294322"/>
        </patternFill>
      </fill>
    </dxf>
    <dxf>
      <fill>
        <patternFill>
          <bgColor rgb="FFAE2838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rgb="FFAE2838"/>
        </patternFill>
      </fill>
    </dxf>
    <dxf>
      <fill>
        <patternFill>
          <bgColor rgb="FFAA0E1D"/>
        </patternFill>
      </fill>
    </dxf>
    <dxf>
      <fill>
        <patternFill>
          <bgColor rgb="FFAA0E1D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rgb="FFFFC000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ck">
          <color rgb="FFFFC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1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1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name val="Garamond"/>
        <family val="1"/>
        <scheme val="none"/>
      </font>
    </dxf>
    <dxf>
      <font>
        <b/>
        <color theme="1"/>
      </font>
      <border>
        <bottom style="thin">
          <color theme="0" tint="-0.34998626667073579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Mitema1" pivot="0" table="0" count="10" xr9:uid="{DEF63E7C-B539-4B0E-96E2-83BF212521DF}">
      <tableStyleElement type="wholeTable" dxfId="51"/>
      <tableStyleElement type="headerRow" dxfId="50"/>
    </tableStyle>
  </tableStyles>
  <colors>
    <mruColors>
      <color rgb="FFD2A000"/>
      <color rgb="FF388047"/>
      <color rgb="FFAC0C10"/>
      <color rgb="FF339933"/>
      <color rgb="FF00A84C"/>
      <color rgb="FF00B050"/>
      <color rgb="FFA40000"/>
      <color rgb="FFFCC0C9"/>
      <color rgb="FFED8392"/>
      <color rgb="FFAE2838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0" tint="-0.14999847407452621"/>
              <bgColor theme="0" tint="-0.149998474074526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 tint="-0.249977111117893"/>
              <bgColor theme="0" tint="-0.249977111117893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theme="0"/>
              <bgColor theme="0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Mitema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6664840532657857"/>
          <c:y val="3.7966037377857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2594575755565307E-2"/>
          <c:y val="0.17833802024746906"/>
          <c:w val="0.49734408550407416"/>
          <c:h val="0.81864407574053233"/>
        </c:manualLayout>
      </c:layout>
      <c:doughnutChart>
        <c:varyColors val="1"/>
        <c:ser>
          <c:idx val="0"/>
          <c:order val="0"/>
          <c:tx>
            <c:strRef>
              <c:f>'Alertas tempranas AL y NC'!$AA$7</c:f>
              <c:strCache>
                <c:ptCount val="1"/>
                <c:pt idx="0">
                  <c:v>A.L. FONTIBÓN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E0-4E68-BC92-3DEF6CB53FCF}"/>
              </c:ext>
            </c:extLst>
          </c:dPt>
          <c:dPt>
            <c:idx val="1"/>
            <c:bubble3D val="0"/>
            <c:spPr>
              <a:solidFill>
                <a:srgbClr val="D2A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BE0-4E68-BC92-3DEF6CB53FC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E0-4E68-BC92-3DEF6CB53FC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E0-4E68-BC92-3DEF6CB53F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'Alertas tempranas AL y NC'!$AB$6:$AC$6</c:f>
              <c:strCache>
                <c:ptCount val="2"/>
                <c:pt idx="0">
                  <c:v>PQRS Vencidas</c:v>
                </c:pt>
                <c:pt idx="1">
                  <c:v>PQRS con Respuesta Exemporánea</c:v>
                </c:pt>
              </c:strCache>
            </c:strRef>
          </c:cat>
          <c:val>
            <c:numRef>
              <c:f>'Alertas tempranas AL y NC'!$AB$7:$AC$7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B42-4015-9177-F26B43CD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  <c:extLst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53705794435207799"/>
          <c:y val="0.35372094113235847"/>
          <c:w val="0.406362022258898"/>
          <c:h val="0.43875024741311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>
      <a:softEdge rad="6350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6567236653237058E-2"/>
          <c:y val="0.20254231349353838"/>
          <c:w val="0.92286830430445477"/>
          <c:h val="0.54389629392096783"/>
        </c:manualLayout>
      </c:layout>
      <c:lineChart>
        <c:grouping val="stacked"/>
        <c:varyColors val="0"/>
        <c:ser>
          <c:idx val="0"/>
          <c:order val="0"/>
          <c:tx>
            <c:strRef>
              <c:f>'Alertas tempranas AL y NC'!$AA$11</c:f>
              <c:strCache>
                <c:ptCount val="1"/>
                <c:pt idx="0">
                  <c:v>A.L. FONTIBÓN</c:v>
                </c:pt>
              </c:strCache>
            </c:strRef>
          </c:tx>
          <c:spPr>
            <a:ln w="92075" cap="rnd">
              <a:solidFill>
                <a:schemeClr val="accent1"/>
              </a:solidFill>
              <a:prstDash val="dashDot"/>
              <a:round/>
              <a:tailEnd type="triangle"/>
            </a:ln>
            <a:effectLst>
              <a:softEdge rad="12700"/>
            </a:effectLst>
          </c:spPr>
          <c:marker>
            <c:symbol val="diamond"/>
            <c:size val="24"/>
            <c:spPr>
              <a:solidFill>
                <a:schemeClr val="accent1"/>
              </a:solidFill>
              <a:ln w="9525">
                <a:noFill/>
              </a:ln>
              <a:effectLst>
                <a:softEdge rad="12700"/>
              </a:effectLst>
            </c:spPr>
          </c:marker>
          <c:dPt>
            <c:idx val="1"/>
            <c:marker>
              <c:symbol val="diamond"/>
              <c:size val="24"/>
              <c:spPr>
                <a:solidFill>
                  <a:schemeClr val="accent1"/>
                </a:solidFill>
                <a:ln w="9525">
                  <a:noFill/>
                </a:ln>
                <a:effectLst>
                  <a:softEdge rad="12700"/>
                </a:effectLst>
              </c:spPr>
            </c:marker>
            <c:bubble3D val="0"/>
            <c:spPr>
              <a:ln w="92075" cap="rnd">
                <a:solidFill>
                  <a:schemeClr val="accent1"/>
                </a:solidFill>
                <a:prstDash val="sysDot"/>
                <a:round/>
                <a:tailEnd type="none"/>
              </a:ln>
              <a:effectLst>
                <a:softEdge rad="12700"/>
              </a:effectLst>
            </c:spPr>
            <c:extLst>
              <c:ext xmlns:c16="http://schemas.microsoft.com/office/drawing/2014/chart" uri="{C3380CC4-5D6E-409C-BE32-E72D297353CC}">
                <c16:uniqueId val="{00000003-C1E7-45B2-8583-EC42DC1DD28D}"/>
              </c:ext>
            </c:extLst>
          </c:dPt>
          <c:dPt>
            <c:idx val="2"/>
            <c:marker>
              <c:symbol val="diamond"/>
              <c:size val="24"/>
              <c:spPr>
                <a:solidFill>
                  <a:schemeClr val="accent1"/>
                </a:solidFill>
                <a:ln w="9525">
                  <a:noFill/>
                </a:ln>
                <a:effectLst>
                  <a:softEdge rad="12700"/>
                </a:effectLst>
              </c:spPr>
            </c:marker>
            <c:bubble3D val="0"/>
            <c:spPr>
              <a:ln w="92075" cap="rnd">
                <a:solidFill>
                  <a:schemeClr val="accent1"/>
                </a:solidFill>
                <a:prstDash val="sysDot"/>
                <a:round/>
                <a:tailEnd type="none"/>
              </a:ln>
              <a:effectLst>
                <a:softEdge rad="12700"/>
              </a:effectLst>
            </c:spPr>
            <c:extLst>
              <c:ext xmlns:c16="http://schemas.microsoft.com/office/drawing/2014/chart" uri="{C3380CC4-5D6E-409C-BE32-E72D297353CC}">
                <c16:uniqueId val="{00000008-C1E7-45B2-8583-EC42DC1DD2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NC'!$AB$10:$AD$10</c:f>
              <c:strCache>
                <c:ptCount val="3"/>
                <c:pt idx="0">
                  <c:v>PQRS Vencidas y Extemporaneas a 19/05/2022</c:v>
                </c:pt>
                <c:pt idx="1">
                  <c:v>PQRS Vencidas y Extemporaneas a 26/05/2023</c:v>
                </c:pt>
                <c:pt idx="2">
                  <c:v>PQRS Vencidas y Extemporaneas a 02/06/2023</c:v>
                </c:pt>
              </c:strCache>
            </c:strRef>
          </c:cat>
          <c:val>
            <c:numRef>
              <c:f>'Alertas tempranas AL y NC'!$AB$11:$AD$11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1E7-45B2-8583-EC42DC1DD2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0050175"/>
        <c:axId val="1240048735"/>
      </c:lineChart>
      <c:catAx>
        <c:axId val="1240050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  <c:crossAx val="1240048735"/>
        <c:crosses val="autoZero"/>
        <c:auto val="1"/>
        <c:lblAlgn val="ctr"/>
        <c:lblOffset val="100"/>
        <c:noMultiLvlLbl val="0"/>
      </c:catAx>
      <c:valAx>
        <c:axId val="124004873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0050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5000">
          <a:schemeClr val="bg1"/>
        </a:gs>
        <a:gs pos="100000">
          <a:schemeClr val="bg1">
            <a:alpha val="6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Ranking PQRS x Alcaldía Local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'Alertas tempranas AL y NC'!$AN$2</c:f>
              <c:strCache>
                <c:ptCount val="1"/>
                <c:pt idx="0">
                  <c:v> Vencidas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NC'!$AM$3:$AM$22</c:f>
              <c:strCache>
                <c:ptCount val="20"/>
                <c:pt idx="0">
                  <c:v>A.L. SAN CRISTÓBAL</c:v>
                </c:pt>
                <c:pt idx="1">
                  <c:v>A.L. BARRIOS UNIDOS</c:v>
                </c:pt>
                <c:pt idx="2">
                  <c:v>A.L. BOSA</c:v>
                </c:pt>
                <c:pt idx="3">
                  <c:v>A.L. ENGATIVA </c:v>
                </c:pt>
                <c:pt idx="4">
                  <c:v>A.L. SUMAPAZ</c:v>
                </c:pt>
                <c:pt idx="5">
                  <c:v>A.L. USAQUÉN</c:v>
                </c:pt>
                <c:pt idx="6">
                  <c:v>A.L. PUENTE ARANDA</c:v>
                </c:pt>
                <c:pt idx="7">
                  <c:v>A.L. FONTIBÓN</c:v>
                </c:pt>
                <c:pt idx="8">
                  <c:v>A.L. MARTÍRES</c:v>
                </c:pt>
                <c:pt idx="9">
                  <c:v>A.L. ANTONIO NARINO</c:v>
                </c:pt>
                <c:pt idx="10">
                  <c:v>A.L. SANTA FE</c:v>
                </c:pt>
                <c:pt idx="11">
                  <c:v>A.L. RAFAEL URIBE</c:v>
                </c:pt>
                <c:pt idx="12">
                  <c:v>A.L. SUBA</c:v>
                </c:pt>
                <c:pt idx="13">
                  <c:v>A.L. CIUDAD BOLÍVAR</c:v>
                </c:pt>
                <c:pt idx="14">
                  <c:v>A.L. CHAPINERO</c:v>
                </c:pt>
                <c:pt idx="15">
                  <c:v>A.L. USME</c:v>
                </c:pt>
                <c:pt idx="16">
                  <c:v>A.L. CANDELARIA</c:v>
                </c:pt>
                <c:pt idx="17">
                  <c:v>A.L. TEUSAQUILLO</c:v>
                </c:pt>
                <c:pt idx="18">
                  <c:v>A.L. TUNJUELITO</c:v>
                </c:pt>
                <c:pt idx="19">
                  <c:v>A.L.  KENNEDY</c:v>
                </c:pt>
              </c:strCache>
            </c:strRef>
          </c:cat>
          <c:val>
            <c:numRef>
              <c:f>'Alertas tempranas AL y NC'!$AN$3:$AN$22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5-450A-91FD-EA1EB2FA078A}"/>
            </c:ext>
          </c:extLst>
        </c:ser>
        <c:ser>
          <c:idx val="1"/>
          <c:order val="1"/>
          <c:tx>
            <c:strRef>
              <c:f>'Alertas tempranas AL y NC'!$AO$2</c:f>
              <c:strCache>
                <c:ptCount val="1"/>
                <c:pt idx="0">
                  <c:v>Extemporáneas</c:v>
                </c:pt>
              </c:strCache>
            </c:strRef>
          </c:tx>
          <c:spPr>
            <a:solidFill>
              <a:srgbClr val="D2A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NC'!$AM$3:$AM$22</c:f>
              <c:strCache>
                <c:ptCount val="20"/>
                <c:pt idx="0">
                  <c:v>A.L. SAN CRISTÓBAL</c:v>
                </c:pt>
                <c:pt idx="1">
                  <c:v>A.L. BARRIOS UNIDOS</c:v>
                </c:pt>
                <c:pt idx="2">
                  <c:v>A.L. BOSA</c:v>
                </c:pt>
                <c:pt idx="3">
                  <c:v>A.L. ENGATIVA </c:v>
                </c:pt>
                <c:pt idx="4">
                  <c:v>A.L. SUMAPAZ</c:v>
                </c:pt>
                <c:pt idx="5">
                  <c:v>A.L. USAQUÉN</c:v>
                </c:pt>
                <c:pt idx="6">
                  <c:v>A.L. PUENTE ARANDA</c:v>
                </c:pt>
                <c:pt idx="7">
                  <c:v>A.L. FONTIBÓN</c:v>
                </c:pt>
                <c:pt idx="8">
                  <c:v>A.L. MARTÍRES</c:v>
                </c:pt>
                <c:pt idx="9">
                  <c:v>A.L. ANTONIO NARINO</c:v>
                </c:pt>
                <c:pt idx="10">
                  <c:v>A.L. SANTA FE</c:v>
                </c:pt>
                <c:pt idx="11">
                  <c:v>A.L. RAFAEL URIBE</c:v>
                </c:pt>
                <c:pt idx="12">
                  <c:v>A.L. SUBA</c:v>
                </c:pt>
                <c:pt idx="13">
                  <c:v>A.L. CIUDAD BOLÍVAR</c:v>
                </c:pt>
                <c:pt idx="14">
                  <c:v>A.L. CHAPINERO</c:v>
                </c:pt>
                <c:pt idx="15">
                  <c:v>A.L. USME</c:v>
                </c:pt>
                <c:pt idx="16">
                  <c:v>A.L. CANDELARIA</c:v>
                </c:pt>
                <c:pt idx="17">
                  <c:v>A.L. TEUSAQUILLO</c:v>
                </c:pt>
                <c:pt idx="18">
                  <c:v>A.L. TUNJUELITO</c:v>
                </c:pt>
                <c:pt idx="19">
                  <c:v>A.L.  KENNEDY</c:v>
                </c:pt>
              </c:strCache>
            </c:strRef>
          </c:cat>
          <c:val>
            <c:numRef>
              <c:f>'Alertas tempranas AL y NC'!$AO$3:$AO$22</c:f>
              <c:numCache>
                <c:formatCode>0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2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5-450A-91FD-EA1EB2FA0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87598975"/>
        <c:axId val="554323327"/>
      </c:barChart>
      <c:catAx>
        <c:axId val="587598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  <c:crossAx val="554323327"/>
        <c:crosses val="autoZero"/>
        <c:auto val="1"/>
        <c:lblAlgn val="ctr"/>
        <c:lblOffset val="100"/>
        <c:noMultiLvlLbl val="0"/>
      </c:catAx>
      <c:valAx>
        <c:axId val="55432332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7598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479564885089138"/>
          <c:y val="1.7697667643380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069266454559997E-2"/>
          <c:y val="0.22230185044967032"/>
          <c:w val="0.4935290876450828"/>
          <c:h val="0.76027502283581805"/>
        </c:manualLayout>
      </c:layout>
      <c:doughnutChart>
        <c:varyColors val="1"/>
        <c:ser>
          <c:idx val="0"/>
          <c:order val="0"/>
          <c:tx>
            <c:strRef>
              <c:f>'Alertas tempranas AL y NC'!$AA$34</c:f>
              <c:strCache>
                <c:ptCount val="1"/>
                <c:pt idx="0">
                  <c:v>SUBSECRETARIA DE GESTIÓN INSTITUCIONAL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0F-4BF2-A71B-C37D8BFF9D92}"/>
              </c:ext>
            </c:extLst>
          </c:dPt>
          <c:dPt>
            <c:idx val="1"/>
            <c:bubble3D val="0"/>
            <c:spPr>
              <a:solidFill>
                <a:srgbClr val="D2A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0F-4BF2-A71B-C37D8BFF9D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0F-4BF2-A71B-C37D8BFF9D92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0F-4BF2-A71B-C37D8BFF9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'Alertas tempranas AL y NC'!$AB$33:$AC$33</c:f>
              <c:strCache>
                <c:ptCount val="2"/>
                <c:pt idx="0">
                  <c:v>PQRS Vencidas sin Respuesta</c:v>
                </c:pt>
                <c:pt idx="1">
                  <c:v>PQRS Vencidas con Respuesta Exemporánea</c:v>
                </c:pt>
              </c:strCache>
            </c:strRef>
          </c:cat>
          <c:val>
            <c:numRef>
              <c:f>'Alertas tempranas AL y NC'!$AB$34:$AC$34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00F-4BF2-A71B-C37D8BFF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63020564867318"/>
          <c:y val="0.39433825048793081"/>
          <c:w val="0.38579264499386784"/>
          <c:h val="0.41495638765463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6350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6567236653237058E-2"/>
          <c:y val="0.16060594130279168"/>
          <c:w val="0.92286830430445477"/>
          <c:h val="0.58583285612025771"/>
        </c:manualLayout>
      </c:layout>
      <c:lineChart>
        <c:grouping val="stacked"/>
        <c:varyColors val="0"/>
        <c:ser>
          <c:idx val="0"/>
          <c:order val="0"/>
          <c:tx>
            <c:strRef>
              <c:f>'Alertas tempranas AL y NC'!$AA$38</c:f>
              <c:strCache>
                <c:ptCount val="1"/>
                <c:pt idx="0">
                  <c:v>SUBSECRETARIA DE GESTIÓN INSTITUCIONAL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4"/>
            <c:spPr>
              <a:solidFill>
                <a:schemeClr val="accent1"/>
              </a:solidFill>
              <a:ln w="9525">
                <a:noFill/>
              </a:ln>
              <a:effectLst>
                <a:softEdge rad="12700"/>
              </a:effectLst>
            </c:spPr>
          </c:marker>
          <c:dLbls>
            <c:dLbl>
              <c:idx val="0"/>
              <c:layout>
                <c:manualLayout>
                  <c:x val="-3.8502673796791467E-2"/>
                  <c:y val="-0.111540723430297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5-44D8-A1D2-BA654673B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NC'!$AB$37:$AD$37</c:f>
              <c:strCache>
                <c:ptCount val="3"/>
                <c:pt idx="0">
                  <c:v>PQRS Vencidas y Extemporáneas a 19/05/2022</c:v>
                </c:pt>
                <c:pt idx="1">
                  <c:v>PQRS Vencidas y Extemporáneas a 26/05/2023</c:v>
                </c:pt>
                <c:pt idx="2">
                  <c:v>PQRS Vencidas y Extemporáneas a 02/06/2023</c:v>
                </c:pt>
              </c:strCache>
            </c:strRef>
          </c:cat>
          <c:val>
            <c:numRef>
              <c:f>'Alertas tempranas AL y NC'!$AB$38:$AD$38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445-454A-825D-CA392FB0CE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0050175"/>
        <c:axId val="1240048735"/>
      </c:lineChart>
      <c:catAx>
        <c:axId val="1240050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  <c:crossAx val="1240048735"/>
        <c:crosses val="autoZero"/>
        <c:auto val="1"/>
        <c:lblAlgn val="ctr"/>
        <c:lblOffset val="100"/>
        <c:noMultiLvlLbl val="0"/>
      </c:catAx>
      <c:valAx>
        <c:axId val="124004873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0050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5000">
          <a:schemeClr val="bg1"/>
        </a:gs>
        <a:gs pos="100000">
          <a:schemeClr val="bg1">
            <a:alpha val="6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Ranking PQRS x Dependencia</a:t>
            </a:r>
            <a:r>
              <a:rPr lang="es-CO" baseline="0"/>
              <a:t> Nivel Central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201686654269021"/>
          <c:y val="9.9302314483416851E-2"/>
          <c:w val="0.43863476030776627"/>
          <c:h val="0.788077880728805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'Alertas tempranas AL y NC'!$AN$30</c:f>
              <c:strCache>
                <c:ptCount val="1"/>
                <c:pt idx="0">
                  <c:v> Vencidas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NC'!$AM$31:$AM$50</c:f>
              <c:strCache>
                <c:ptCount val="20"/>
                <c:pt idx="0">
                  <c:v>OFICINA ASESORA DE COMUNICACIONES </c:v>
                </c:pt>
                <c:pt idx="1">
                  <c:v>OFICINA DE ASUNTOS DISCIPLINARIOS</c:v>
                </c:pt>
                <c:pt idx="2">
                  <c:v>SUBSECRETARIA DE GESTIÓN INSTITUCIONAL</c:v>
                </c:pt>
                <c:pt idx="3">
                  <c:v>SUBSECRETARIA DE GESTIÓN LOCAL </c:v>
                </c:pt>
                <c:pt idx="4">
                  <c:v>SUBSECRETARIA PARA LA GOBERNABILIDAD Y LA GARANTIA DE DERECHOS</c:v>
                </c:pt>
                <c:pt idx="5">
                  <c:v>DIR. JURIDICA</c:v>
                </c:pt>
                <c:pt idx="6">
                  <c:v>DIR. DE ASUNTOS ETNICOS</c:v>
                </c:pt>
                <c:pt idx="7">
                  <c:v>SUBDIR. DE ASUNTOS INDIGENAS Y RROM</c:v>
                </c:pt>
                <c:pt idx="8">
                  <c:v>DIR. DE CONTRATACIÓN</c:v>
                </c:pt>
                <c:pt idx="9">
                  <c:v>DIR. PARA LA GESTIÓN ADMINISTRATIVA ESPECIAL DE POLICIA</c:v>
                </c:pt>
                <c:pt idx="10">
                  <c:v>DIR. FINANCIERA </c:v>
                </c:pt>
                <c:pt idx="11">
                  <c:v>DIR. DE TECNOLOGIAS E INFORMACIÓN</c:v>
                </c:pt>
                <c:pt idx="12">
                  <c:v>DIR. DE RELACIONES POLITICAS</c:v>
                </c:pt>
                <c:pt idx="13">
                  <c:v>SUBDIR. DE ASUNTOS DE LIBERTAD RELIGIOSA Y DE CONCIENCIA</c:v>
                </c:pt>
                <c:pt idx="14">
                  <c:v>DIR. ADMINISTRATIVA</c:v>
                </c:pt>
                <c:pt idx="15">
                  <c:v>DIR. DE CONVIVENCIA Y DIALOGO SOCIAL </c:v>
                </c:pt>
                <c:pt idx="16">
                  <c:v>DIR. PARA LA GESTION DEL DESARROLLO LOCAL</c:v>
                </c:pt>
                <c:pt idx="17">
                  <c:v>SUBDIR. DE ASUNTOS PARA COMUNIDADES NEGRAS, AFROCOLOMBIANAS, RAIZALES Y PALENQUERAS</c:v>
                </c:pt>
                <c:pt idx="18">
                  <c:v>DIR. DE GESTIÓN DEL TALENTO HUMANO </c:v>
                </c:pt>
                <c:pt idx="19">
                  <c:v>DIR. PARA LA GESTIÓN POLICIVA</c:v>
                </c:pt>
              </c:strCache>
            </c:strRef>
          </c:cat>
          <c:val>
            <c:numRef>
              <c:f>'Alertas tempranas AL y NC'!$AN$31:$AN$50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5-43C2-85D1-AAFA9DFA267A}"/>
            </c:ext>
          </c:extLst>
        </c:ser>
        <c:ser>
          <c:idx val="1"/>
          <c:order val="1"/>
          <c:tx>
            <c:strRef>
              <c:f>'Alertas tempranas AL y NC'!$AO$30</c:f>
              <c:strCache>
                <c:ptCount val="1"/>
                <c:pt idx="0">
                  <c:v>Extemporáneas</c:v>
                </c:pt>
              </c:strCache>
            </c:strRef>
          </c:tx>
          <c:spPr>
            <a:solidFill>
              <a:srgbClr val="D2A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'Alertas tempranas AL y NC'!$AM$31:$AM$50</c:f>
              <c:strCache>
                <c:ptCount val="20"/>
                <c:pt idx="0">
                  <c:v>OFICINA ASESORA DE COMUNICACIONES </c:v>
                </c:pt>
                <c:pt idx="1">
                  <c:v>OFICINA DE ASUNTOS DISCIPLINARIOS</c:v>
                </c:pt>
                <c:pt idx="2">
                  <c:v>SUBSECRETARIA DE GESTIÓN INSTITUCIONAL</c:v>
                </c:pt>
                <c:pt idx="3">
                  <c:v>SUBSECRETARIA DE GESTIÓN LOCAL </c:v>
                </c:pt>
                <c:pt idx="4">
                  <c:v>SUBSECRETARIA PARA LA GOBERNABILIDAD Y LA GARANTIA DE DERECHOS</c:v>
                </c:pt>
                <c:pt idx="5">
                  <c:v>DIR. JURIDICA</c:v>
                </c:pt>
                <c:pt idx="6">
                  <c:v>DIR. DE ASUNTOS ETNICOS</c:v>
                </c:pt>
                <c:pt idx="7">
                  <c:v>SUBDIR. DE ASUNTOS INDIGENAS Y RROM</c:v>
                </c:pt>
                <c:pt idx="8">
                  <c:v>DIR. DE CONTRATACIÓN</c:v>
                </c:pt>
                <c:pt idx="9">
                  <c:v>DIR. PARA LA GESTIÓN ADMINISTRATIVA ESPECIAL DE POLICIA</c:v>
                </c:pt>
                <c:pt idx="10">
                  <c:v>DIR. FINANCIERA </c:v>
                </c:pt>
                <c:pt idx="11">
                  <c:v>DIR. DE TECNOLOGIAS E INFORMACIÓN</c:v>
                </c:pt>
                <c:pt idx="12">
                  <c:v>DIR. DE RELACIONES POLITICAS</c:v>
                </c:pt>
                <c:pt idx="13">
                  <c:v>SUBDIR. DE ASUNTOS DE LIBERTAD RELIGIOSA Y DE CONCIENCIA</c:v>
                </c:pt>
                <c:pt idx="14">
                  <c:v>DIR. ADMINISTRATIVA</c:v>
                </c:pt>
                <c:pt idx="15">
                  <c:v>DIR. DE CONVIVENCIA Y DIALOGO SOCIAL </c:v>
                </c:pt>
                <c:pt idx="16">
                  <c:v>DIR. PARA LA GESTION DEL DESARROLLO LOCAL</c:v>
                </c:pt>
                <c:pt idx="17">
                  <c:v>SUBDIR. DE ASUNTOS PARA COMUNIDADES NEGRAS, AFROCOLOMBIANAS, RAIZALES Y PALENQUERAS</c:v>
                </c:pt>
                <c:pt idx="18">
                  <c:v>DIR. DE GESTIÓN DEL TALENTO HUMANO </c:v>
                </c:pt>
                <c:pt idx="19">
                  <c:v>DIR. PARA LA GESTIÓN POLICIVA</c:v>
                </c:pt>
              </c:strCache>
            </c:strRef>
          </c:cat>
          <c:val>
            <c:numRef>
              <c:f>'Alertas tempranas AL y NC'!$AO$31:$AO$50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5-43C2-85D1-AAFA9DFA2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7598975"/>
        <c:axId val="554323327"/>
      </c:barChart>
      <c:catAx>
        <c:axId val="587598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O"/>
          </a:p>
        </c:txPr>
        <c:crossAx val="554323327"/>
        <c:crosses val="autoZero"/>
        <c:auto val="1"/>
        <c:lblAlgn val="ctr"/>
        <c:lblOffset val="100"/>
        <c:noMultiLvlLbl val="0"/>
      </c:catAx>
      <c:valAx>
        <c:axId val="55432332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7598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Scroll" dx="26" fmlaLink="T31" horiz="1" max="3" min="1" page="10" val="3"/>
</file>

<file path=xl/ctrlProps/ctrlProp2.xml><?xml version="1.0" encoding="utf-8"?>
<formControlPr xmlns="http://schemas.microsoft.com/office/spreadsheetml/2009/9/main" objectType="Scroll" dx="26" fmlaLink="R29" horiz="1" max="3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122768</xdr:colOff>
      <xdr:row>1</xdr:row>
      <xdr:rowOff>21167</xdr:rowOff>
    </xdr:from>
    <xdr:to>
      <xdr:col>8</xdr:col>
      <xdr:colOff>621018</xdr:colOff>
      <xdr:row>22</xdr:row>
      <xdr:rowOff>21566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LCALDÍA LOCAL 2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LCALDÍA LOCAL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47068" y="287867"/>
              <a:ext cx="1971450" cy="36999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12</xdr:col>
      <xdr:colOff>233804</xdr:colOff>
      <xdr:row>1</xdr:row>
      <xdr:rowOff>86265</xdr:rowOff>
    </xdr:from>
    <xdr:to>
      <xdr:col>19</xdr:col>
      <xdr:colOff>460075</xdr:colOff>
      <xdr:row>15</xdr:row>
      <xdr:rowOff>172528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711207</xdr:colOff>
      <xdr:row>30</xdr:row>
      <xdr:rowOff>230037</xdr:rowOff>
    </xdr:from>
    <xdr:to>
      <xdr:col>20</xdr:col>
      <xdr:colOff>0</xdr:colOff>
      <xdr:row>45</xdr:row>
      <xdr:rowOff>173568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504825</xdr:colOff>
          <xdr:row>29</xdr:row>
          <xdr:rowOff>85725</xdr:rowOff>
        </xdr:from>
        <xdr:to>
          <xdr:col>20</xdr:col>
          <xdr:colOff>9525</xdr:colOff>
          <xdr:row>30</xdr:row>
          <xdr:rowOff>171450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292100</xdr:colOff>
      <xdr:row>39</xdr:row>
      <xdr:rowOff>165100</xdr:rowOff>
    </xdr:to>
    <xdr:sp macro="" textlink="">
      <xdr:nvSpPr>
        <xdr:cNvPr id="3" name="Triángulo rectá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-3092450" y="3092450"/>
          <a:ext cx="6477000" cy="292100"/>
        </a:xfrm>
        <a:prstGeom prst="rt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CO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es-CO"/>
        </a:p>
      </xdr:txBody>
    </xdr:sp>
    <xdr:clientData/>
  </xdr:twoCellAnchor>
  <xdr:twoCellAnchor>
    <xdr:from>
      <xdr:col>20</xdr:col>
      <xdr:colOff>215900</xdr:colOff>
      <xdr:row>9</xdr:row>
      <xdr:rowOff>88900</xdr:rowOff>
    </xdr:from>
    <xdr:to>
      <xdr:col>20</xdr:col>
      <xdr:colOff>508000</xdr:colOff>
      <xdr:row>49</xdr:row>
      <xdr:rowOff>165100</xdr:rowOff>
    </xdr:to>
    <xdr:sp macro="" textlink="">
      <xdr:nvSpPr>
        <xdr:cNvPr id="6" name="Triángulo rectá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6200000">
          <a:off x="9137650" y="4895850"/>
          <a:ext cx="6477000" cy="292100"/>
        </a:xfrm>
        <a:prstGeom prst="rt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CO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es-CO"/>
        </a:p>
      </xdr:txBody>
    </xdr:sp>
    <xdr:clientData/>
  </xdr:twoCellAnchor>
  <xdr:twoCellAnchor editAs="oneCell">
    <xdr:from>
      <xdr:col>16</xdr:col>
      <xdr:colOff>0</xdr:colOff>
      <xdr:row>43</xdr:row>
      <xdr:rowOff>139700</xdr:rowOff>
    </xdr:from>
    <xdr:to>
      <xdr:col>20</xdr:col>
      <xdr:colOff>431801</xdr:colOff>
      <xdr:row>49</xdr:row>
      <xdr:rowOff>171450</xdr:rowOff>
    </xdr:to>
    <xdr:pic>
      <xdr:nvPicPr>
        <xdr:cNvPr id="7" name="Picture 108" descr="Logotipo, nombre de la empresa  Descripción generada automáticamente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0" y="7188200"/>
          <a:ext cx="2514600" cy="10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474449</xdr:colOff>
      <xdr:row>15</xdr:row>
      <xdr:rowOff>129396</xdr:rowOff>
    </xdr:from>
    <xdr:to>
      <xdr:col>20</xdr:col>
      <xdr:colOff>448734</xdr:colOff>
      <xdr:row>16</xdr:row>
      <xdr:rowOff>160867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661716" y="3033463"/>
          <a:ext cx="4173751" cy="217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Del total de PQRS de la semana analizada, se evidencia que cuenta</a:t>
          </a:r>
        </a:p>
        <a:p>
          <a:pPr algn="l"/>
          <a:endParaRPr lang="es-CO" sz="1100"/>
        </a:p>
      </xdr:txBody>
    </xdr:sp>
    <xdr:clientData/>
  </xdr:twoCellAnchor>
  <xdr:twoCellAnchor>
    <xdr:from>
      <xdr:col>14</xdr:col>
      <xdr:colOff>249688</xdr:colOff>
      <xdr:row>16</xdr:row>
      <xdr:rowOff>132112</xdr:rowOff>
    </xdr:from>
    <xdr:to>
      <xdr:col>20</xdr:col>
      <xdr:colOff>296334</xdr:colOff>
      <xdr:row>17</xdr:row>
      <xdr:rowOff>160867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9486821" y="3222445"/>
          <a:ext cx="3196246" cy="215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 (es) dentro de los términos, se genera alerta </a:t>
          </a:r>
        </a:p>
      </xdr:txBody>
    </xdr:sp>
    <xdr:clientData/>
  </xdr:twoCellAnchor>
  <xdr:twoCellAnchor>
    <xdr:from>
      <xdr:col>14</xdr:col>
      <xdr:colOff>244095</xdr:colOff>
      <xdr:row>17</xdr:row>
      <xdr:rowOff>145052</xdr:rowOff>
    </xdr:from>
    <xdr:to>
      <xdr:col>20</xdr:col>
      <xdr:colOff>245534</xdr:colOff>
      <xdr:row>18</xdr:row>
      <xdr:rowOff>177800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481228" y="3421652"/>
          <a:ext cx="3151039" cy="219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 (es) vencidas sin respuesta y dando cumpli- </a:t>
          </a:r>
        </a:p>
      </xdr:txBody>
    </xdr:sp>
    <xdr:clientData/>
  </xdr:twoCellAnchor>
  <xdr:twoCellAnchor>
    <xdr:from>
      <xdr:col>12</xdr:col>
      <xdr:colOff>481642</xdr:colOff>
      <xdr:row>18</xdr:row>
      <xdr:rowOff>136585</xdr:rowOff>
    </xdr:from>
    <xdr:to>
      <xdr:col>18</xdr:col>
      <xdr:colOff>152400</xdr:colOff>
      <xdr:row>19</xdr:row>
      <xdr:rowOff>186267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668909" y="3599452"/>
          <a:ext cx="2820358" cy="235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-ento al monitoreo de la Secretaría General</a:t>
          </a:r>
        </a:p>
      </xdr:txBody>
    </xdr:sp>
    <xdr:clientData/>
  </xdr:twoCellAnchor>
  <xdr:twoCellAnchor>
    <xdr:from>
      <xdr:col>18</xdr:col>
      <xdr:colOff>147606</xdr:colOff>
      <xdr:row>18</xdr:row>
      <xdr:rowOff>141218</xdr:rowOff>
    </xdr:from>
    <xdr:to>
      <xdr:col>20</xdr:col>
      <xdr:colOff>152399</xdr:colOff>
      <xdr:row>19</xdr:row>
      <xdr:rowOff>177800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1484473" y="3604085"/>
          <a:ext cx="1054659" cy="222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 (es) se</a:t>
          </a:r>
        </a:p>
      </xdr:txBody>
    </xdr:sp>
    <xdr:clientData/>
  </xdr:twoCellAnchor>
  <xdr:twoCellAnchor>
    <xdr:from>
      <xdr:col>12</xdr:col>
      <xdr:colOff>503208</xdr:colOff>
      <xdr:row>19</xdr:row>
      <xdr:rowOff>158150</xdr:rowOff>
    </xdr:from>
    <xdr:to>
      <xdr:col>18</xdr:col>
      <xdr:colOff>262466</xdr:colOff>
      <xdr:row>21</xdr:row>
      <xdr:rowOff>42333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8690475" y="3807283"/>
          <a:ext cx="2908858" cy="273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respondierón excediendo los términos de Ley.</a:t>
          </a:r>
        </a:p>
      </xdr:txBody>
    </xdr:sp>
    <xdr:clientData/>
  </xdr:twoCellAnchor>
  <xdr:twoCellAnchor>
    <xdr:from>
      <xdr:col>1</xdr:col>
      <xdr:colOff>0</xdr:colOff>
      <xdr:row>23</xdr:row>
      <xdr:rowOff>71887</xdr:rowOff>
    </xdr:from>
    <xdr:to>
      <xdr:col>6</xdr:col>
      <xdr:colOff>558800</xdr:colOff>
      <xdr:row>49</xdr:row>
      <xdr:rowOff>28754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499533</xdr:colOff>
      <xdr:row>16</xdr:row>
      <xdr:rowOff>135466</xdr:rowOff>
    </xdr:from>
    <xdr:to>
      <xdr:col>13</xdr:col>
      <xdr:colOff>431799</xdr:colOff>
      <xdr:row>17</xdr:row>
      <xdr:rowOff>152399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8686800" y="3225799"/>
          <a:ext cx="4571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con</a:t>
          </a:r>
        </a:p>
      </xdr:txBody>
    </xdr:sp>
    <xdr:clientData/>
  </xdr:twoCellAnchor>
  <xdr:twoCellAnchor>
    <xdr:from>
      <xdr:col>12</xdr:col>
      <xdr:colOff>491066</xdr:colOff>
      <xdr:row>17</xdr:row>
      <xdr:rowOff>126999</xdr:rowOff>
    </xdr:from>
    <xdr:to>
      <xdr:col>14</xdr:col>
      <xdr:colOff>33867</xdr:colOff>
      <xdr:row>18</xdr:row>
      <xdr:rowOff>152399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8678333" y="3403599"/>
          <a:ext cx="592667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por las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0</xdr:row>
      <xdr:rowOff>228601</xdr:rowOff>
    </xdr:from>
    <xdr:to>
      <xdr:col>20</xdr:col>
      <xdr:colOff>9525</xdr:colOff>
      <xdr:row>15</xdr:row>
      <xdr:rowOff>5444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93133</xdr:colOff>
      <xdr:row>0</xdr:row>
      <xdr:rowOff>263311</xdr:rowOff>
    </xdr:from>
    <xdr:to>
      <xdr:col>9</xdr:col>
      <xdr:colOff>695325</xdr:colOff>
      <xdr:row>23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EPENDENCIAS DE NIVEL CENTRAL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ENDENCIAS DE NIVEL CENTRA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219" y="263311"/>
              <a:ext cx="2261869" cy="3884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5</xdr:col>
      <xdr:colOff>771524</xdr:colOff>
      <xdr:row>28</xdr:row>
      <xdr:rowOff>188807</xdr:rowOff>
    </xdr:from>
    <xdr:to>
      <xdr:col>19</xdr:col>
      <xdr:colOff>390524</xdr:colOff>
      <xdr:row>43</xdr:row>
      <xdr:rowOff>177801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28575</xdr:rowOff>
        </xdr:from>
        <xdr:to>
          <xdr:col>20</xdr:col>
          <xdr:colOff>0</xdr:colOff>
          <xdr:row>28</xdr:row>
          <xdr:rowOff>171450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</xdr:rowOff>
    </xdr:from>
    <xdr:to>
      <xdr:col>0</xdr:col>
      <xdr:colOff>320039</xdr:colOff>
      <xdr:row>40</xdr:row>
      <xdr:rowOff>123372</xdr:rowOff>
    </xdr:to>
    <xdr:sp macro="" textlink="">
      <xdr:nvSpPr>
        <xdr:cNvPr id="7" name="Triángulo rectángul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rot="5400000">
          <a:off x="-3193506" y="3193507"/>
          <a:ext cx="6707051" cy="320039"/>
        </a:xfrm>
        <a:prstGeom prst="rt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CO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es-CO"/>
        </a:p>
      </xdr:txBody>
    </xdr:sp>
    <xdr:clientData/>
  </xdr:twoCellAnchor>
  <xdr:twoCellAnchor>
    <xdr:from>
      <xdr:col>19</xdr:col>
      <xdr:colOff>515986</xdr:colOff>
      <xdr:row>10</xdr:row>
      <xdr:rowOff>174172</xdr:rowOff>
    </xdr:from>
    <xdr:to>
      <xdr:col>20</xdr:col>
      <xdr:colOff>274686</xdr:colOff>
      <xdr:row>51</xdr:row>
      <xdr:rowOff>174172</xdr:rowOff>
    </xdr:to>
    <xdr:sp macro="" textlink="">
      <xdr:nvSpPr>
        <xdr:cNvPr id="8" name="Triángulo rectángul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16200000">
          <a:off x="11360516" y="5285922"/>
          <a:ext cx="6675120" cy="292100"/>
        </a:xfrm>
        <a:prstGeom prst="rt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CO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es-CO"/>
        </a:p>
      </xdr:txBody>
    </xdr:sp>
    <xdr:clientData/>
  </xdr:twoCellAnchor>
  <xdr:twoCellAnchor editAs="oneCell">
    <xdr:from>
      <xdr:col>15</xdr:col>
      <xdr:colOff>380998</xdr:colOff>
      <xdr:row>46</xdr:row>
      <xdr:rowOff>10885</xdr:rowOff>
    </xdr:from>
    <xdr:to>
      <xdr:col>20</xdr:col>
      <xdr:colOff>200023</xdr:colOff>
      <xdr:row>51</xdr:row>
      <xdr:rowOff>133350</xdr:rowOff>
    </xdr:to>
    <xdr:pic>
      <xdr:nvPicPr>
        <xdr:cNvPr id="9" name="Picture 108" descr="Logotipo, nombre de la empresa  Descripción generada automáticamente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112" y="7674428"/>
          <a:ext cx="2514600" cy="10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190501</xdr:colOff>
      <xdr:row>14</xdr:row>
      <xdr:rowOff>161926</xdr:rowOff>
    </xdr:from>
    <xdr:to>
      <xdr:col>19</xdr:col>
      <xdr:colOff>514350</xdr:colOff>
      <xdr:row>15</xdr:row>
      <xdr:rowOff>180976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1229976" y="2933701"/>
          <a:ext cx="425767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Del total de PQRS de la semana analizada, se evidencia que cuenta</a:t>
          </a:r>
        </a:p>
      </xdr:txBody>
    </xdr:sp>
    <xdr:clientData/>
  </xdr:twoCellAnchor>
  <xdr:twoCellAnchor>
    <xdr:from>
      <xdr:col>13</xdr:col>
      <xdr:colOff>361950</xdr:colOff>
      <xdr:row>15</xdr:row>
      <xdr:rowOff>152400</xdr:rowOff>
    </xdr:from>
    <xdr:to>
      <xdr:col>19</xdr:col>
      <xdr:colOff>428625</xdr:colOff>
      <xdr:row>17</xdr:row>
      <xdr:rowOff>57150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1325225" y="3086100"/>
          <a:ext cx="32099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 (es) dentro de los términos, se genera alerta </a:t>
          </a:r>
        </a:p>
      </xdr:txBody>
    </xdr:sp>
    <xdr:clientData/>
  </xdr:twoCellAnchor>
  <xdr:twoCellAnchor>
    <xdr:from>
      <xdr:col>13</xdr:col>
      <xdr:colOff>474053</xdr:colOff>
      <xdr:row>16</xdr:row>
      <xdr:rowOff>152400</xdr:rowOff>
    </xdr:from>
    <xdr:to>
      <xdr:col>19</xdr:col>
      <xdr:colOff>400050</xdr:colOff>
      <xdr:row>18</xdr:row>
      <xdr:rowOff>76200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1437328" y="3276600"/>
          <a:ext cx="306924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 (es) vencidas sin respuesta y dando</a:t>
          </a:r>
          <a:r>
            <a:rPr lang="es-CO" sz="1100" baseline="0"/>
            <a:t> cumpli-</a:t>
          </a:r>
          <a:endParaRPr lang="es-CO" sz="1100"/>
        </a:p>
      </xdr:txBody>
    </xdr:sp>
    <xdr:clientData/>
  </xdr:twoCellAnchor>
  <xdr:twoCellAnchor>
    <xdr:from>
      <xdr:col>12</xdr:col>
      <xdr:colOff>190500</xdr:colOff>
      <xdr:row>17</xdr:row>
      <xdr:rowOff>152400</xdr:rowOff>
    </xdr:from>
    <xdr:to>
      <xdr:col>18</xdr:col>
      <xdr:colOff>361950</xdr:colOff>
      <xdr:row>19</xdr:row>
      <xdr:rowOff>38100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629900" y="3467100"/>
          <a:ext cx="3314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-miento al monitoreo de la Secretaría General</a:t>
          </a:r>
        </a:p>
      </xdr:txBody>
    </xdr:sp>
    <xdr:clientData/>
  </xdr:twoCellAnchor>
  <xdr:twoCellAnchor>
    <xdr:from>
      <xdr:col>17</xdr:col>
      <xdr:colOff>436233</xdr:colOff>
      <xdr:row>17</xdr:row>
      <xdr:rowOff>152399</xdr:rowOff>
    </xdr:from>
    <xdr:to>
      <xdr:col>19</xdr:col>
      <xdr:colOff>257174</xdr:colOff>
      <xdr:row>19</xdr:row>
      <xdr:rowOff>47625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285583" y="3495674"/>
          <a:ext cx="944891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petición</a:t>
          </a:r>
          <a:r>
            <a:rPr lang="es-CO" sz="1100" baseline="0"/>
            <a:t> </a:t>
          </a:r>
          <a:r>
            <a:rPr lang="es-CO" sz="1100"/>
            <a:t>(es) </a:t>
          </a:r>
        </a:p>
      </xdr:txBody>
    </xdr:sp>
    <xdr:clientData/>
  </xdr:twoCellAnchor>
  <xdr:twoCellAnchor>
    <xdr:from>
      <xdr:col>12</xdr:col>
      <xdr:colOff>209550</xdr:colOff>
      <xdr:row>18</xdr:row>
      <xdr:rowOff>180975</xdr:rowOff>
    </xdr:from>
    <xdr:to>
      <xdr:col>18</xdr:col>
      <xdr:colOff>95250</xdr:colOff>
      <xdr:row>20</xdr:row>
      <xdr:rowOff>47625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0648950" y="3686175"/>
          <a:ext cx="3028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se</a:t>
          </a:r>
          <a:r>
            <a:rPr lang="es-CO" sz="1100" baseline="0"/>
            <a:t> </a:t>
          </a:r>
          <a:r>
            <a:rPr lang="es-CO" sz="1100"/>
            <a:t>respondierón excediendo los términos de Ley.</a:t>
          </a:r>
        </a:p>
      </xdr:txBody>
    </xdr:sp>
    <xdr:clientData/>
  </xdr:twoCellAnchor>
  <xdr:twoCellAnchor>
    <xdr:from>
      <xdr:col>12</xdr:col>
      <xdr:colOff>200025</xdr:colOff>
      <xdr:row>15</xdr:row>
      <xdr:rowOff>152400</xdr:rowOff>
    </xdr:from>
    <xdr:to>
      <xdr:col>13</xdr:col>
      <xdr:colOff>133349</xdr:colOff>
      <xdr:row>16</xdr:row>
      <xdr:rowOff>165100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0639425" y="3086100"/>
          <a:ext cx="4571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con</a:t>
          </a:r>
        </a:p>
      </xdr:txBody>
    </xdr:sp>
    <xdr:clientData/>
  </xdr:twoCellAnchor>
  <xdr:twoCellAnchor>
    <xdr:from>
      <xdr:col>12</xdr:col>
      <xdr:colOff>200025</xdr:colOff>
      <xdr:row>16</xdr:row>
      <xdr:rowOff>152400</xdr:rowOff>
    </xdr:from>
    <xdr:to>
      <xdr:col>13</xdr:col>
      <xdr:colOff>268817</xdr:colOff>
      <xdr:row>17</xdr:row>
      <xdr:rowOff>173567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0639425" y="3276600"/>
          <a:ext cx="592667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100"/>
            <a:t>por las</a:t>
          </a:r>
        </a:p>
      </xdr:txBody>
    </xdr:sp>
    <xdr:clientData/>
  </xdr:twoCellAnchor>
  <xdr:twoCellAnchor>
    <xdr:from>
      <xdr:col>1</xdr:col>
      <xdr:colOff>9524</xdr:colOff>
      <xdr:row>26</xdr:row>
      <xdr:rowOff>95250</xdr:rowOff>
    </xdr:from>
    <xdr:to>
      <xdr:col>5</xdr:col>
      <xdr:colOff>628650</xdr:colOff>
      <xdr:row>51</xdr:row>
      <xdr:rowOff>47625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ESENIA" refreshedDate="45082.622628472222" createdVersion="8" refreshedVersion="8" minRefreshableVersion="3" recordCount="22" xr:uid="{4FABFA46-6C40-4D00-9682-655D8EDC54E4}">
  <cacheSource type="worksheet">
    <worksheetSource ref="B91:E113" sheet="Alertas tempranas AL y NC"/>
  </cacheSource>
  <cacheFields count="4">
    <cacheField name="DEPENDENCIAS DE NIVEL CENTRAL" numFmtId="0">
      <sharedItems count="38">
        <s v="DIR. DE DERECHOS HUMANOS"/>
        <s v="DIR. PARA LA GESTIÓN POLICIVA"/>
        <s v="DIR. DE GESTIÓN DEL TALENTO HUMANO "/>
        <s v="DIR. DE CONVIVENCIA Y DIALOGO SOCIAL "/>
        <s v="DIR. PARA LA GESTION DEL DESARROLLO LOCAL"/>
        <s v="SUBDIR. DE ASUNTOS PARA COMUNIDADES NEGRAS, AFROCOLOMBIANAS, RAIZALES Y PALENQUERAS"/>
        <s v="OFICINA DE ASUNTOS DISCIPLINARIOS"/>
        <s v="DIR. JURIDICA"/>
        <s v="DIR. DE ASUNTOS ETNICOS"/>
        <s v="DESPACHO DEL SECRETARIO DE GOBIERNO "/>
        <s v="SUBDIR. DE ASUNTOS INDIGENAS Y RROM"/>
        <s v="SUBSECRETARIA DE GESTIÓN LOCAL "/>
        <s v="SUBSECRETARIA DE GESTIÓN INSTITUCIONAL"/>
        <s v="DIR. DE CONTRATACIÓN"/>
        <s v="DIR. PARA LA GESTIÓN ADMINISTRATIVA ESPECIAL DE POLICIA"/>
        <s v="SUBSECRETARIA PARA LA GOBERNABILIDAD Y LA GARANTIA DE DERECHOS"/>
        <s v="DIR. FINANCIERA "/>
        <s v="DIR. DE TECNOLOGIAS E INFORMACIÓN"/>
        <s v="OFICINA ASESORA DE COMUNICACIONES "/>
        <s v="DIR. DE RELACIONES POLITICAS"/>
        <s v="SUBDIR. DE ASUNTOS DE LIBERTAD RELIGIOSA Y DE CONCIENCIA"/>
        <s v="DIR. ADMINISTRATIVA"/>
        <s v="DIRECCIÓN ADMINISTRATIVA" u="1"/>
        <s v="DIRECCIÓN PARA LA GESTION DEL DESARROLLO LOCAL" u="1"/>
        <s v="DIRECCIÓN PARA LA GESTIÓN ADMINISTRATIVA ESPECIAL DE POLICIA" u="1"/>
        <s v="DIRECCIÓN DE GESTIÓN DEL TALENTO HUMANO " u="1"/>
        <s v="DIRECCIÓN JURIDICA" u="1"/>
        <s v="DIRECCIÓN DE TECNOLOGIAS E INFORMACIÓN" u="1"/>
        <s v="SUBDIRECCIÓN DE ASUNTOS DE LIBERTAD RELIGIOSA Y DE CONCIENCIA" u="1"/>
        <s v="DIRECCIÓN PARA LA GESTIÓN POLICIVA" u="1"/>
        <s v="DIRECCIÓN FINANCIERA " u="1"/>
        <s v="DIRECCIÓN DE ASUNTOS ETNICOS" u="1"/>
        <s v="DIRECCIÓN DE CONVIVENCIA Y DIALOGO SOCIAL " u="1"/>
        <s v="DIRECCIÓN DE RELACIONES POLITICAS" u="1"/>
        <s v="DIRECCIÓN DE CONTRATACIÓN" u="1"/>
        <s v="DIRECCIÓN DE DERECHOS HUMANOS" u="1"/>
        <s v="SUBDIRECCION DE ASUNTOS INDIGENAS Y RROM" u="1"/>
        <s v="SUBDIRECCION DE ASUNTOS PARA COMUNIDADES NEGRAS, AFROCOLOMBIANAS, RAIZALES Y PALENQUERAS" u="1"/>
      </sharedItems>
    </cacheField>
    <cacheField name="PQRS Vencidas sin Respuesta Bte 02/06/2023" numFmtId="1">
      <sharedItems containsSemiMixedTypes="0" containsString="0" containsNumber="1" containsInteger="1" minValue="0" maxValue="7" count="5">
        <n v="7"/>
        <n v="3"/>
        <n v="2"/>
        <n v="0"/>
        <n v="1"/>
      </sharedItems>
    </cacheField>
    <cacheField name="PQRS Vencidas con Respuesta Extemporánea Bte 29/05-02/06/2023" numFmtId="1">
      <sharedItems containsSemiMixedTypes="0" containsString="0" containsNumber="1" containsInteger="1" minValue="0" maxValue="4" count="3">
        <n v="1"/>
        <n v="4"/>
        <n v="0"/>
      </sharedItems>
    </cacheField>
    <cacheField name="TOTAL" numFmtId="0">
      <sharedItems containsSemiMixedTypes="0" containsString="0" containsNumber="1" containsInteger="1" minValue="0" maxValue="8" count="5">
        <n v="8"/>
        <n v="7"/>
        <n v="3"/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ESENIA" refreshedDate="45082.622628703706" createdVersion="8" refreshedVersion="8" minRefreshableVersion="3" recordCount="20" xr:uid="{13FE7375-4368-43E3-9321-9C5CB4D82E61}">
  <cacheSource type="worksheet">
    <worksheetSource ref="B64:E84" sheet="Alertas tempranas AL y NC"/>
  </cacheSource>
  <cacheFields count="4">
    <cacheField name="ALCALDÍAS LOCALES " numFmtId="0">
      <sharedItems count="20">
        <s v="A.L.  KENNEDY"/>
        <s v="A.L. TEUSAQUILLO"/>
        <s v="A.L. TUNJUELITO"/>
        <s v="A.L. CANDELARIA"/>
        <s v="A.L. USME"/>
        <s v="A.L. CHAPINERO"/>
        <s v="A.L. CIUDAD BOLÍVAR"/>
        <s v="A.L. RAFAEL URIBE"/>
        <s v="A.L. SUBA"/>
        <s v="A.L. ANTONIO NARINO"/>
        <s v="A.L. SANTA FE"/>
        <s v="A.L. MARTÍRES"/>
        <s v="A.L. FONTIBÓN"/>
        <s v="A.L. PUENTE ARANDA"/>
        <s v="A.L. ENGATIVA "/>
        <s v="A.L. SUMAPAZ"/>
        <s v="A.L. BARRIOS UNIDOS"/>
        <s v="A.L. BOSA"/>
        <s v="A.L. USAQUÉN"/>
        <s v="A.L. SAN CRISTÓBAL"/>
      </sharedItems>
    </cacheField>
    <cacheField name="PQRS Vencidas sin Respuesta Bte 02/06/2023" numFmtId="1">
      <sharedItems containsSemiMixedTypes="0" containsString="0" containsNumber="1" containsInteger="1" minValue="0" maxValue="16" count="10">
        <n v="15"/>
        <n v="11"/>
        <n v="16"/>
        <n v="7"/>
        <n v="6"/>
        <n v="3"/>
        <n v="4"/>
        <n v="1"/>
        <n v="0"/>
        <n v="2"/>
      </sharedItems>
    </cacheField>
    <cacheField name="PQRS Vencidas con Respuesta Extemporánea Bte 29/05-02/06/2023" numFmtId="1">
      <sharedItems containsSemiMixedTypes="0" containsString="0" containsNumber="1" containsInteger="1" minValue="0" maxValue="11" count="10">
        <n v="11"/>
        <n v="7"/>
        <n v="2"/>
        <n v="6"/>
        <n v="9"/>
        <n v="8"/>
        <n v="5"/>
        <n v="1"/>
        <n v="3"/>
        <n v="0"/>
      </sharedItems>
    </cacheField>
    <cacheField name="TOTAL " numFmtId="1">
      <sharedItems containsSemiMixedTypes="0" containsString="0" containsNumber="1" containsInteger="1" minValue="0" maxValue="26" count="13">
        <n v="26"/>
        <n v="18"/>
        <n v="17"/>
        <n v="16"/>
        <n v="13"/>
        <n v="11"/>
        <n v="9"/>
        <n v="8"/>
        <n v="5"/>
        <n v="4"/>
        <n v="3"/>
        <n v="2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ESENIA" refreshedDate="45082.622698148145" createdVersion="8" refreshedVersion="8" minRefreshableVersion="3" recordCount="22" xr:uid="{1F08EE8E-0AA9-47FC-BEBF-506E03CDA781}">
  <cacheSource type="worksheet">
    <worksheetSource name="Tabla3"/>
  </cacheSource>
  <cacheFields count="9">
    <cacheField name="DEPENDENCIAS DE NIVEL CENTRAL" numFmtId="0">
      <sharedItems count="55">
        <s v="DIR. DE DERECHOS HUMANOS"/>
        <s v="DIR. PARA LA GESTIÓN POLICIVA"/>
        <s v="OFICINA DE ASUNTOS DISCIPLINARIOS"/>
        <s v="DIR. PARA LA GESTION DEL DESARROLLO LOCAL"/>
        <s v="DIR. DE CONVIVENCIA Y DIALOGO SOCIAL "/>
        <s v="DIR. DE GESTIÓN DEL TALENTO HUMANO "/>
        <s v="DESPACHO DEL SECRETARIO DE GOBIERNO "/>
        <s v="SUBSECRETARIA DE GESTIÓN LOCAL "/>
        <s v="DIR. ADMINISTRATIVA"/>
        <s v="DIR. JURIDICA"/>
        <s v="SUBDIR. DE ASUNTOS INDIGENAS Y RROM"/>
        <s v="SUBSECRETARIA DE GESTIÓN INSTITUCIONAL"/>
        <s v="SUBDIR. DE ASUNTOS PARA COMUNIDADES NEGRAS, AFROCOLOMBIANAS, RAIZALES Y PALENQUERAS"/>
        <s v="SUBSECRETARIA PARA LA GOBERNABILIDAD Y LA GARANTIA DE DERECHOS"/>
        <s v="DIR. DE ASUNTOS ETNICOS"/>
        <s v="DIR. DE CONTRATACIÓN"/>
        <s v="DIR. PARA LA GESTIÓN ADMINISTRATIVA ESPECIAL DE POLICIA"/>
        <s v="DIR. FINANCIERA "/>
        <s v="DIR. DE TECNOLOGIAS E INFORMACIÓN"/>
        <s v="OFICINA ASESORA DE COMUNICACIONES "/>
        <s v="DIR. DE RELACIONES POLITICAS"/>
        <s v="SUBDIR. DE ASUNTOS DE LIBERTAD RELIGIOSA Y DE CONCIENCIA"/>
        <s v="DIRECCION ADMINISTRATIVA" u="1"/>
        <s v="DIRECCIÓN ADMINISTRATIVA" u="1"/>
        <s v="DIRECCION DE CONTRATACION" u="1"/>
        <s v="DIRECCION PARA LA GESTION DEL DESARROLLO LOCAL" u="1"/>
        <s v="DIRECCIÓN PARA LA GESTION DEL DESARROLLO LOCAL" u="1"/>
        <s v="DIRECCION PARA LA GESTION ADMINISTRATIVA ESPECIAL DE POLICIA" u="1"/>
        <s v="DIRECCIÓN PARA LA GESTIÓN ADMINISTRATIVA ESPECIAL DE POLICIA" u="1"/>
        <s v="DIRECCION DE GESTION DEL TALENTO HUMANO " u="1"/>
        <s v="DIRECCIÓN DE GESTIÓN DEL TALENTO HUMANO " u="1"/>
        <s v="DIRECCION JURIDICA" u="1"/>
        <s v="DIRECCIÓN JURIDICA" u="1"/>
        <s v="DIRECCIÓN DE TECNOLOGIAS E INFORMACIÓN" u="1"/>
        <s v="SUBDIRECCION DE ASUNTOS DE LIBERTAD RELIGIOSA Y DE CONCIENCIA" u="1"/>
        <s v="SUBDIRECCIÓN DE ASUNTOS DE LIBERTAD RELIGIOSA Y DE CONCIENCIA" u="1"/>
        <s v="SUBDIRECCION DE ASUNTOS ETNICOS" u="1"/>
        <s v="SUBDIRECCIÓN DE ASUNTOS ETNICOS" u="1"/>
        <s v="SUBSECRETARIA DE GESTION LOCAL " u="1"/>
        <s v="DIRECCION DE TECNOLOGIAS E INFORMACION" u="1"/>
        <s v="DIRECCION PARA LA GESTION POLICIVA" u="1"/>
        <s v="DIRECCIÓN PARA LA GESTIÓN POLICIVA" u="1"/>
        <s v="DIRECCION FINANCIERA " u="1"/>
        <s v="DIRECCIÓN FINANCIERA " u="1"/>
        <s v="DIRECCIÓN DE ASUNTOS ETNICOS" u="1"/>
        <s v="DIRECCION DE CONVIVENCIA Y DIALOGO SOCIAL " u="1"/>
        <s v="DIRECCIÓN DE CONVIVENCIA Y DIALOGO SOCIAL " u="1"/>
        <s v="DIRECCION DE RELACIONES POLITICAS" u="1"/>
        <s v="DIRECCIÓN DE RELACIONES POLITICAS" u="1"/>
        <s v="DIRECCIÓN DE CONTRATACIÓN" u="1"/>
        <s v="DIRECCION DE DERECHOS HUMANOS" u="1"/>
        <s v="DIRECCIÓN DE DERECHOS HUMANOS" u="1"/>
        <s v="SUBDIRECCION DE ASUNTOS INDIGENAS Y RROM" u="1"/>
        <s v="SUBDIRECCION DE ASUNTOS PARA COMUNIDADES NEGRAS, AFROCOLOMBIANAS, RAIZALES Y PALENQUERAS" u="1"/>
        <s v="SUBSECRETARIA DE GESTION INSTITUCIONAL" u="1"/>
      </sharedItems>
    </cacheField>
    <cacheField name="Vencidas" numFmtId="1">
      <sharedItems containsSemiMixedTypes="0" containsString="0" containsNumber="1" containsInteger="1" minValue="0" maxValue="8"/>
    </cacheField>
    <cacheField name="En Terminos" numFmtId="1">
      <sharedItems containsSemiMixedTypes="0" containsString="0" containsNumber="1" containsInteger="1" minValue="0" maxValue="15"/>
    </cacheField>
    <cacheField name="TOTAL PQRS" numFmtId="1">
      <sharedItems containsSemiMixedTypes="0" containsString="0" containsNumber="1" containsInteger="1" minValue="0" maxValue="26"/>
    </cacheField>
    <cacheField name="PQRS Vencidas Sin Respuesta Bte 02/06/2023" numFmtId="1">
      <sharedItems containsSemiMixedTypes="0" containsString="0" containsNumber="1" containsInteger="1" minValue="0" maxValue="7"/>
    </cacheField>
    <cacheField name="PQRS Vencidas Con Respuesta Extemporánea Bte 29/05-02/06/2023" numFmtId="1">
      <sharedItems containsSemiMixedTypes="0" containsString="0" containsNumber="1" containsInteger="1" minValue="0" maxValue="4"/>
    </cacheField>
    <cacheField name="PQRS Vencidas y Extemporaneas a 19/05/2022" numFmtId="1">
      <sharedItems containsSemiMixedTypes="0" containsString="0" containsNumber="1" containsInteger="1" minValue="0" maxValue="6"/>
    </cacheField>
    <cacheField name="PQRS Vencidas y Extemporaneas a 26/05/2023" numFmtId="1">
      <sharedItems containsSemiMixedTypes="0" containsString="0" containsNumber="1" containsInteger="1" minValue="0" maxValue="7"/>
    </cacheField>
    <cacheField name="PQRS Vencidas y Extemporaneas a 02/06/2023" numFmtId="1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 pivotCacheId="1305446529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ESENIA" refreshedDate="45082.622823495367" createdVersion="8" refreshedVersion="8" minRefreshableVersion="3" recordCount="20" xr:uid="{6FE4197D-D38D-43E6-9106-ED244AB4789D}">
  <cacheSource type="worksheet">
    <worksheetSource name="Tabla2"/>
  </cacheSource>
  <cacheFields count="9">
    <cacheField name="ALCALDÍA LOCAL" numFmtId="0">
      <sharedItems count="20">
        <s v="A.L.  KENNEDY"/>
        <s v="A.L. CIUDAD BOLÍVAR"/>
        <s v="A.L. SUBA"/>
        <s v="A.L. USME"/>
        <s v="A.L. CANDELARIA"/>
        <s v="A.L. FONTIBÓN"/>
        <s v="A.L. BOSA"/>
        <s v="A.L. TEUSAQUILLO"/>
        <s v="A.L. SANTA FE"/>
        <s v="A.L. USAQUÉN"/>
        <s v="A.L. CHAPINERO"/>
        <s v="A.L. SAN CRISTÓBAL"/>
        <s v="A.L. TUNJUELITO"/>
        <s v="A.L. ENGATIVA "/>
        <s v="A.L. RAFAEL URIBE"/>
        <s v="A.L. ANTONIO NARINO"/>
        <s v="A.L. PUENTE ARANDA"/>
        <s v="A.L. BARRIOS UNIDOS"/>
        <s v="A.L. MARTÍRES"/>
        <s v="A.L. SUMAPAZ"/>
      </sharedItems>
    </cacheField>
    <cacheField name="Vencidas" numFmtId="0">
      <sharedItems containsSemiMixedTypes="0" containsString="0" containsNumber="1" containsInteger="1" minValue="0" maxValue="16"/>
    </cacheField>
    <cacheField name="En Terminos" numFmtId="0">
      <sharedItems containsSemiMixedTypes="0" containsString="0" containsNumber="1" containsInteger="1" minValue="0" maxValue="117"/>
    </cacheField>
    <cacheField name="TOTAL PQRS" numFmtId="0">
      <sharedItems containsSemiMixedTypes="0" containsString="0" containsNumber="1" containsInteger="1" minValue="2" maxValue="143"/>
    </cacheField>
    <cacheField name="PQRS Vencidas Sin Respuesta Bte 02/06/2023" numFmtId="0">
      <sharedItems containsSemiMixedTypes="0" containsString="0" containsNumber="1" containsInteger="1" minValue="0" maxValue="16"/>
    </cacheField>
    <cacheField name="PQRS Vencidas Con Respuesta Extemporánea Bte 29/05-02/06/2023" numFmtId="0">
      <sharedItems containsSemiMixedTypes="0" containsString="0" containsNumber="1" containsInteger="1" minValue="0" maxValue="11"/>
    </cacheField>
    <cacheField name="PQRS Vencidas y Extemporaneas a 19/05/2022" numFmtId="0">
      <sharedItems containsSemiMixedTypes="0" containsString="0" containsNumber="1" containsInteger="1" minValue="0" maxValue="36"/>
    </cacheField>
    <cacheField name="PQRS Vencidas y Extemporaneas a 26/05/2023" numFmtId="0">
      <sharedItems containsSemiMixedTypes="0" containsString="0" containsNumber="1" containsInteger="1" minValue="0" maxValue="27"/>
    </cacheField>
    <cacheField name="PQRS Vencidas y Extemporaneas a 02/06/2023" numFmtId="0">
      <sharedItems containsSemiMixedTypes="0" containsString="0" containsNumber="1" containsInteger="1" minValue="0" maxValue="26"/>
    </cacheField>
  </cacheFields>
  <extLst>
    <ext xmlns:x14="http://schemas.microsoft.com/office/spreadsheetml/2009/9/main" uri="{725AE2AE-9491-48be-B2B4-4EB974FC3084}">
      <x14:pivotCacheDefinition pivotCacheId="137319637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x v="0"/>
    <x v="0"/>
  </r>
  <r>
    <x v="1"/>
    <x v="1"/>
    <x v="1"/>
    <x v="1"/>
  </r>
  <r>
    <x v="2"/>
    <x v="2"/>
    <x v="0"/>
    <x v="2"/>
  </r>
  <r>
    <x v="3"/>
    <x v="3"/>
    <x v="0"/>
    <x v="3"/>
  </r>
  <r>
    <x v="4"/>
    <x v="4"/>
    <x v="2"/>
    <x v="3"/>
  </r>
  <r>
    <x v="5"/>
    <x v="4"/>
    <x v="2"/>
    <x v="3"/>
  </r>
  <r>
    <x v="6"/>
    <x v="3"/>
    <x v="2"/>
    <x v="4"/>
  </r>
  <r>
    <x v="7"/>
    <x v="3"/>
    <x v="2"/>
    <x v="4"/>
  </r>
  <r>
    <x v="8"/>
    <x v="3"/>
    <x v="2"/>
    <x v="4"/>
  </r>
  <r>
    <x v="9"/>
    <x v="3"/>
    <x v="2"/>
    <x v="4"/>
  </r>
  <r>
    <x v="10"/>
    <x v="3"/>
    <x v="2"/>
    <x v="4"/>
  </r>
  <r>
    <x v="11"/>
    <x v="3"/>
    <x v="2"/>
    <x v="4"/>
  </r>
  <r>
    <x v="12"/>
    <x v="3"/>
    <x v="2"/>
    <x v="4"/>
  </r>
  <r>
    <x v="13"/>
    <x v="3"/>
    <x v="2"/>
    <x v="4"/>
  </r>
  <r>
    <x v="14"/>
    <x v="3"/>
    <x v="2"/>
    <x v="4"/>
  </r>
  <r>
    <x v="15"/>
    <x v="3"/>
    <x v="2"/>
    <x v="4"/>
  </r>
  <r>
    <x v="16"/>
    <x v="3"/>
    <x v="2"/>
    <x v="4"/>
  </r>
  <r>
    <x v="17"/>
    <x v="3"/>
    <x v="2"/>
    <x v="4"/>
  </r>
  <r>
    <x v="18"/>
    <x v="3"/>
    <x v="2"/>
    <x v="4"/>
  </r>
  <r>
    <x v="19"/>
    <x v="3"/>
    <x v="2"/>
    <x v="4"/>
  </r>
  <r>
    <x v="20"/>
    <x v="3"/>
    <x v="2"/>
    <x v="4"/>
  </r>
  <r>
    <x v="21"/>
    <x v="3"/>
    <x v="2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</r>
  <r>
    <x v="1"/>
    <x v="1"/>
    <x v="1"/>
    <x v="1"/>
  </r>
  <r>
    <x v="2"/>
    <x v="2"/>
    <x v="2"/>
    <x v="1"/>
  </r>
  <r>
    <x v="3"/>
    <x v="1"/>
    <x v="3"/>
    <x v="2"/>
  </r>
  <r>
    <x v="4"/>
    <x v="3"/>
    <x v="4"/>
    <x v="3"/>
  </r>
  <r>
    <x v="5"/>
    <x v="4"/>
    <x v="1"/>
    <x v="4"/>
  </r>
  <r>
    <x v="6"/>
    <x v="5"/>
    <x v="5"/>
    <x v="5"/>
  </r>
  <r>
    <x v="7"/>
    <x v="6"/>
    <x v="6"/>
    <x v="6"/>
  </r>
  <r>
    <x v="8"/>
    <x v="5"/>
    <x v="3"/>
    <x v="6"/>
  </r>
  <r>
    <x v="9"/>
    <x v="4"/>
    <x v="2"/>
    <x v="7"/>
  </r>
  <r>
    <x v="10"/>
    <x v="3"/>
    <x v="7"/>
    <x v="7"/>
  </r>
  <r>
    <x v="11"/>
    <x v="5"/>
    <x v="2"/>
    <x v="8"/>
  </r>
  <r>
    <x v="12"/>
    <x v="7"/>
    <x v="8"/>
    <x v="9"/>
  </r>
  <r>
    <x v="13"/>
    <x v="8"/>
    <x v="8"/>
    <x v="10"/>
  </r>
  <r>
    <x v="14"/>
    <x v="8"/>
    <x v="2"/>
    <x v="11"/>
  </r>
  <r>
    <x v="15"/>
    <x v="9"/>
    <x v="9"/>
    <x v="11"/>
  </r>
  <r>
    <x v="16"/>
    <x v="8"/>
    <x v="2"/>
    <x v="11"/>
  </r>
  <r>
    <x v="17"/>
    <x v="8"/>
    <x v="2"/>
    <x v="11"/>
  </r>
  <r>
    <x v="18"/>
    <x v="7"/>
    <x v="7"/>
    <x v="11"/>
  </r>
  <r>
    <x v="19"/>
    <x v="8"/>
    <x v="9"/>
    <x v="1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n v="8"/>
    <n v="8"/>
    <n v="26"/>
    <n v="7"/>
    <n v="1"/>
    <n v="6"/>
    <n v="7"/>
    <n v="8"/>
  </r>
  <r>
    <x v="1"/>
    <n v="7"/>
    <n v="8"/>
    <n v="18"/>
    <n v="3"/>
    <n v="4"/>
    <n v="4"/>
    <n v="7"/>
    <n v="7"/>
  </r>
  <r>
    <x v="2"/>
    <n v="0"/>
    <n v="15"/>
    <n v="18"/>
    <n v="0"/>
    <n v="0"/>
    <n v="0"/>
    <n v="0"/>
    <n v="0"/>
  </r>
  <r>
    <x v="3"/>
    <n v="1"/>
    <n v="8"/>
    <n v="17"/>
    <n v="1"/>
    <n v="0"/>
    <n v="1"/>
    <n v="1"/>
    <n v="1"/>
  </r>
  <r>
    <x v="4"/>
    <n v="1"/>
    <n v="6"/>
    <n v="16"/>
    <n v="0"/>
    <n v="1"/>
    <n v="0"/>
    <n v="0"/>
    <n v="1"/>
  </r>
  <r>
    <x v="5"/>
    <n v="3"/>
    <n v="1"/>
    <n v="13"/>
    <n v="2"/>
    <n v="1"/>
    <n v="3"/>
    <n v="4"/>
    <n v="3"/>
  </r>
  <r>
    <x v="6"/>
    <n v="0"/>
    <n v="3"/>
    <n v="11"/>
    <n v="0"/>
    <n v="0"/>
    <n v="0"/>
    <n v="0"/>
    <n v="0"/>
  </r>
  <r>
    <x v="7"/>
    <n v="0"/>
    <n v="3"/>
    <n v="9"/>
    <n v="0"/>
    <n v="0"/>
    <n v="0"/>
    <n v="0"/>
    <n v="0"/>
  </r>
  <r>
    <x v="8"/>
    <n v="0"/>
    <n v="3"/>
    <n v="9"/>
    <n v="0"/>
    <n v="0"/>
    <n v="0"/>
    <n v="0"/>
    <n v="0"/>
  </r>
  <r>
    <x v="9"/>
    <n v="0"/>
    <n v="2"/>
    <n v="8"/>
    <n v="0"/>
    <n v="0"/>
    <n v="4"/>
    <n v="3"/>
    <n v="0"/>
  </r>
  <r>
    <x v="10"/>
    <n v="0"/>
    <n v="2"/>
    <n v="8"/>
    <n v="0"/>
    <n v="0"/>
    <n v="1"/>
    <n v="1"/>
    <n v="0"/>
  </r>
  <r>
    <x v="11"/>
    <n v="0"/>
    <n v="1"/>
    <n v="8"/>
    <n v="0"/>
    <n v="0"/>
    <n v="0"/>
    <n v="0"/>
    <n v="0"/>
  </r>
  <r>
    <x v="12"/>
    <n v="1"/>
    <n v="0"/>
    <n v="5"/>
    <n v="1"/>
    <n v="0"/>
    <n v="0"/>
    <n v="0"/>
    <n v="1"/>
  </r>
  <r>
    <x v="13"/>
    <n v="0"/>
    <n v="1"/>
    <n v="3"/>
    <n v="0"/>
    <n v="0"/>
    <n v="0"/>
    <n v="0"/>
    <n v="0"/>
  </r>
  <r>
    <x v="14"/>
    <n v="0"/>
    <n v="0"/>
    <n v="4"/>
    <n v="0"/>
    <n v="0"/>
    <n v="0"/>
    <n v="0"/>
    <n v="0"/>
  </r>
  <r>
    <x v="15"/>
    <n v="0"/>
    <n v="0"/>
    <n v="3"/>
    <n v="0"/>
    <n v="0"/>
    <n v="0"/>
    <n v="1"/>
    <n v="0"/>
  </r>
  <r>
    <x v="16"/>
    <n v="0"/>
    <n v="0"/>
    <n v="2"/>
    <n v="0"/>
    <n v="0"/>
    <n v="0"/>
    <n v="0"/>
    <n v="0"/>
  </r>
  <r>
    <x v="17"/>
    <n v="0"/>
    <n v="0"/>
    <n v="2"/>
    <n v="0"/>
    <n v="0"/>
    <n v="0"/>
    <n v="0"/>
    <n v="0"/>
  </r>
  <r>
    <x v="18"/>
    <n v="0"/>
    <n v="0"/>
    <n v="2"/>
    <n v="0"/>
    <n v="0"/>
    <n v="0"/>
    <n v="0"/>
    <n v="0"/>
  </r>
  <r>
    <x v="19"/>
    <n v="0"/>
    <n v="0"/>
    <n v="2"/>
    <n v="0"/>
    <n v="0"/>
    <n v="0"/>
    <n v="0"/>
    <n v="0"/>
  </r>
  <r>
    <x v="20"/>
    <n v="0"/>
    <n v="0"/>
    <n v="2"/>
    <n v="0"/>
    <n v="0"/>
    <n v="0"/>
    <n v="0"/>
    <n v="0"/>
  </r>
  <r>
    <x v="21"/>
    <n v="0"/>
    <n v="0"/>
    <n v="0"/>
    <n v="0"/>
    <n v="0"/>
    <n v="0"/>
    <n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5"/>
    <n v="117"/>
    <n v="143"/>
    <n v="15"/>
    <n v="11"/>
    <n v="25"/>
    <n v="27"/>
    <n v="26"/>
  </r>
  <r>
    <x v="1"/>
    <n v="3"/>
    <n v="70"/>
    <n v="81"/>
    <n v="3"/>
    <n v="8"/>
    <n v="36"/>
    <n v="22"/>
    <n v="11"/>
  </r>
  <r>
    <x v="2"/>
    <n v="3"/>
    <n v="67"/>
    <n v="76"/>
    <n v="3"/>
    <n v="6"/>
    <n v="12"/>
    <n v="13"/>
    <n v="9"/>
  </r>
  <r>
    <x v="3"/>
    <n v="7"/>
    <n v="33"/>
    <n v="49"/>
    <n v="7"/>
    <n v="9"/>
    <n v="2"/>
    <n v="10"/>
    <n v="16"/>
  </r>
  <r>
    <x v="4"/>
    <n v="11"/>
    <n v="31"/>
    <n v="48"/>
    <n v="11"/>
    <n v="6"/>
    <n v="16"/>
    <n v="16"/>
    <n v="17"/>
  </r>
  <r>
    <x v="5"/>
    <n v="1"/>
    <n v="43"/>
    <n v="47"/>
    <n v="1"/>
    <n v="3"/>
    <n v="7"/>
    <n v="8"/>
    <n v="4"/>
  </r>
  <r>
    <x v="6"/>
    <n v="0"/>
    <n v="37"/>
    <n v="39"/>
    <n v="0"/>
    <n v="2"/>
    <n v="5"/>
    <n v="1"/>
    <n v="2"/>
  </r>
  <r>
    <x v="7"/>
    <n v="11"/>
    <n v="20"/>
    <n v="38"/>
    <n v="11"/>
    <n v="7"/>
    <n v="9"/>
    <n v="13"/>
    <n v="18"/>
  </r>
  <r>
    <x v="8"/>
    <n v="7"/>
    <n v="27"/>
    <n v="35"/>
    <n v="7"/>
    <n v="1"/>
    <n v="16"/>
    <n v="9"/>
    <n v="8"/>
  </r>
  <r>
    <x v="9"/>
    <n v="1"/>
    <n v="30"/>
    <n v="32"/>
    <n v="1"/>
    <n v="1"/>
    <n v="8"/>
    <n v="5"/>
    <n v="2"/>
  </r>
  <r>
    <x v="10"/>
    <n v="6"/>
    <n v="19"/>
    <n v="32"/>
    <n v="6"/>
    <n v="7"/>
    <n v="14"/>
    <n v="9"/>
    <n v="13"/>
  </r>
  <r>
    <x v="11"/>
    <n v="0"/>
    <n v="25"/>
    <n v="25"/>
    <n v="0"/>
    <n v="0"/>
    <n v="0"/>
    <n v="0"/>
    <n v="0"/>
  </r>
  <r>
    <x v="12"/>
    <n v="16"/>
    <n v="6"/>
    <n v="24"/>
    <n v="16"/>
    <n v="2"/>
    <n v="11"/>
    <n v="11"/>
    <n v="18"/>
  </r>
  <r>
    <x v="13"/>
    <n v="0"/>
    <n v="19"/>
    <n v="21"/>
    <n v="0"/>
    <n v="2"/>
    <n v="0"/>
    <n v="1"/>
    <n v="2"/>
  </r>
  <r>
    <x v="14"/>
    <n v="4"/>
    <n v="12"/>
    <n v="21"/>
    <n v="4"/>
    <n v="5"/>
    <n v="1"/>
    <n v="4"/>
    <n v="9"/>
  </r>
  <r>
    <x v="15"/>
    <n v="6"/>
    <n v="5"/>
    <n v="13"/>
    <n v="6"/>
    <n v="2"/>
    <n v="5"/>
    <n v="8"/>
    <n v="8"/>
  </r>
  <r>
    <x v="16"/>
    <n v="0"/>
    <n v="8"/>
    <n v="11"/>
    <n v="0"/>
    <n v="3"/>
    <n v="4"/>
    <n v="4"/>
    <n v="3"/>
  </r>
  <r>
    <x v="17"/>
    <n v="0"/>
    <n v="9"/>
    <n v="11"/>
    <n v="0"/>
    <n v="2"/>
    <n v="2"/>
    <n v="1"/>
    <n v="2"/>
  </r>
  <r>
    <x v="18"/>
    <n v="3"/>
    <n v="6"/>
    <n v="11"/>
    <n v="3"/>
    <n v="2"/>
    <n v="2"/>
    <n v="3"/>
    <n v="5"/>
  </r>
  <r>
    <x v="19"/>
    <n v="2"/>
    <n v="0"/>
    <n v="2"/>
    <n v="2"/>
    <n v="0"/>
    <n v="3"/>
    <n v="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A207EA-3557-439C-98FB-E575FC4EB93E}" name="TablaDinámica1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Q2:S4" firstHeaderRow="0" firstDataRow="1" firstDataCol="1"/>
  <pivotFields count="9">
    <pivotField axis="axisRow" showAll="0">
      <items count="21">
        <item h="1" x="0"/>
        <item h="1" x="15"/>
        <item h="1" x="17"/>
        <item h="1" x="6"/>
        <item h="1" x="4"/>
        <item h="1" x="10"/>
        <item h="1" x="1"/>
        <item h="1" x="13"/>
        <item x="5"/>
        <item h="1" x="18"/>
        <item h="1" x="16"/>
        <item h="1" x="14"/>
        <item h="1" x="11"/>
        <item h="1" x="8"/>
        <item h="1" x="2"/>
        <item h="1" x="19"/>
        <item h="1" x="7"/>
        <item h="1" x="12"/>
        <item h="1" x="9"/>
        <item h="1" x="3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Vencidas" fld="1" baseField="0" baseItem="0"/>
    <dataField name="Suma de En Terminos" fld="2" baseField="0" baseItem="0"/>
  </dataFields>
  <formats count="6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888F9E-2EA5-472F-8ED7-E7092ECA353D}" name="TablaDinámica10" cacheId="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H29:AK51" firstHeaderRow="1" firstDataRow="1" firstDataCol="4"/>
  <pivotFields count="4">
    <pivotField axis="axisRow" compact="0" outline="0" showAll="0" defaultSubtotal="0">
      <items count="38">
        <item x="9"/>
        <item m="1" x="22"/>
        <item m="1" x="31"/>
        <item m="1" x="34"/>
        <item m="1" x="32"/>
        <item m="1" x="35"/>
        <item m="1" x="25"/>
        <item m="1" x="33"/>
        <item m="1" x="27"/>
        <item m="1" x="30"/>
        <item m="1" x="26"/>
        <item m="1" x="24"/>
        <item m="1" x="23"/>
        <item m="1" x="29"/>
        <item x="18"/>
        <item x="6"/>
        <item m="1" x="28"/>
        <item m="1" x="36"/>
        <item m="1" x="37"/>
        <item x="12"/>
        <item x="11"/>
        <item x="15"/>
        <item x="0"/>
        <item x="1"/>
        <item x="2"/>
        <item x="3"/>
        <item x="4"/>
        <item x="5"/>
        <item x="7"/>
        <item x="8"/>
        <item x="10"/>
        <item x="13"/>
        <item x="14"/>
        <item x="16"/>
        <item x="17"/>
        <item x="19"/>
        <item x="20"/>
        <item x="21"/>
      </items>
    </pivotField>
    <pivotField axis="axisRow" compact="0" numFmtId="1" outline="0" subtotalTop="0" showAll="0" defaultSubtotal="0">
      <items count="5">
        <item x="3"/>
        <item x="4"/>
        <item x="2"/>
        <item x="1"/>
        <item x="0"/>
      </items>
    </pivotField>
    <pivotField axis="axisRow" compact="0" numFmtId="1" outline="0" subtotalTop="0" showAll="0" defaultSubtotal="0">
      <items count="3">
        <item x="2"/>
        <item x="0"/>
        <item x="1"/>
      </items>
    </pivotField>
    <pivotField axis="axisRow" compact="0" numFmtId="1" outline="0" showAll="0" defaultSubtotal="0">
      <items count="5">
        <item x="4"/>
        <item x="3"/>
        <item x="2"/>
        <item x="1"/>
        <item x="0"/>
      </items>
    </pivotField>
  </pivotFields>
  <rowFields count="4">
    <field x="3"/>
    <field x="0"/>
    <field x="1"/>
    <field x="2"/>
  </rowFields>
  <rowItems count="22">
    <i>
      <x/>
      <x/>
      <x/>
      <x/>
    </i>
    <i r="1">
      <x v="14"/>
      <x/>
      <x/>
    </i>
    <i r="1">
      <x v="15"/>
      <x/>
      <x/>
    </i>
    <i r="1">
      <x v="19"/>
      <x/>
      <x/>
    </i>
    <i r="1">
      <x v="20"/>
      <x/>
      <x/>
    </i>
    <i r="1">
      <x v="21"/>
      <x/>
      <x/>
    </i>
    <i r="1">
      <x v="28"/>
      <x/>
      <x/>
    </i>
    <i r="1">
      <x v="29"/>
      <x/>
      <x/>
    </i>
    <i r="1">
      <x v="30"/>
      <x/>
      <x/>
    </i>
    <i r="1">
      <x v="31"/>
      <x/>
      <x/>
    </i>
    <i r="1">
      <x v="32"/>
      <x/>
      <x/>
    </i>
    <i r="1">
      <x v="33"/>
      <x/>
      <x/>
    </i>
    <i r="1">
      <x v="34"/>
      <x/>
      <x/>
    </i>
    <i r="1">
      <x v="35"/>
      <x/>
      <x/>
    </i>
    <i r="1">
      <x v="36"/>
      <x/>
      <x/>
    </i>
    <i r="1">
      <x v="37"/>
      <x/>
      <x/>
    </i>
    <i>
      <x v="1"/>
      <x v="25"/>
      <x/>
      <x v="1"/>
    </i>
    <i r="1">
      <x v="26"/>
      <x v="1"/>
      <x/>
    </i>
    <i r="1">
      <x v="27"/>
      <x v="1"/>
      <x/>
    </i>
    <i>
      <x v="2"/>
      <x v="24"/>
      <x v="2"/>
      <x v="1"/>
    </i>
    <i>
      <x v="3"/>
      <x v="23"/>
      <x v="3"/>
      <x v="2"/>
    </i>
    <i>
      <x v="4"/>
      <x v="22"/>
      <x v="4"/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5F2D5D-FAC3-43B1-98B1-706978943F5B}" name="TablaDinámica6" cacheId="1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H2:AK22" firstHeaderRow="1" firstDataRow="1" firstDataCol="4"/>
  <pivotFields count="4">
    <pivotField axis="axisRow" compact="0" outline="0" showAll="0" sortType="ascending" defaultSubtotal="0">
      <items count="20">
        <item x="0"/>
        <item x="9"/>
        <item x="16"/>
        <item x="17"/>
        <item x="3"/>
        <item x="5"/>
        <item x="6"/>
        <item x="14"/>
        <item x="12"/>
        <item x="11"/>
        <item x="13"/>
        <item x="7"/>
        <item x="19"/>
        <item x="10"/>
        <item x="8"/>
        <item x="15"/>
        <item x="1"/>
        <item x="2"/>
        <item x="18"/>
        <item x="4"/>
      </items>
    </pivotField>
    <pivotField axis="axisRow" compact="0" numFmtId="1" outline="0" showAll="0" defaultSubtotal="0">
      <items count="10">
        <item x="8"/>
        <item x="7"/>
        <item x="9"/>
        <item x="5"/>
        <item x="6"/>
        <item x="4"/>
        <item x="3"/>
        <item x="1"/>
        <item x="0"/>
        <item x="2"/>
      </items>
    </pivotField>
    <pivotField axis="axisRow" compact="0" numFmtId="1" outline="0" showAll="0" defaultSubtotal="0">
      <items count="10">
        <item x="9"/>
        <item x="7"/>
        <item x="2"/>
        <item x="8"/>
        <item x="6"/>
        <item x="3"/>
        <item x="1"/>
        <item x="5"/>
        <item x="4"/>
        <item x="0"/>
      </items>
    </pivotField>
    <pivotField axis="axisRow" compact="0" numFmtId="1" outline="0" showAll="0" sortType="ascending" defaultSubtotal="0">
      <items count="13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</pivotFields>
  <rowFields count="4">
    <field x="3"/>
    <field x="0"/>
    <field x="1"/>
    <field x="2"/>
  </rowFields>
  <rowItems count="20">
    <i>
      <x/>
      <x v="12"/>
      <x/>
      <x/>
    </i>
    <i>
      <x v="1"/>
      <x v="2"/>
      <x/>
      <x v="2"/>
    </i>
    <i r="1">
      <x v="3"/>
      <x/>
      <x v="2"/>
    </i>
    <i r="1">
      <x v="7"/>
      <x/>
      <x v="2"/>
    </i>
    <i r="1">
      <x v="15"/>
      <x v="2"/>
      <x/>
    </i>
    <i r="1">
      <x v="18"/>
      <x v="1"/>
      <x v="1"/>
    </i>
    <i>
      <x v="2"/>
      <x v="10"/>
      <x/>
      <x v="3"/>
    </i>
    <i>
      <x v="3"/>
      <x v="8"/>
      <x v="1"/>
      <x v="3"/>
    </i>
    <i>
      <x v="4"/>
      <x v="9"/>
      <x v="3"/>
      <x v="2"/>
    </i>
    <i>
      <x v="5"/>
      <x v="1"/>
      <x v="5"/>
      <x v="2"/>
    </i>
    <i r="1">
      <x v="13"/>
      <x v="6"/>
      <x v="1"/>
    </i>
    <i>
      <x v="6"/>
      <x v="11"/>
      <x v="4"/>
      <x v="4"/>
    </i>
    <i r="1">
      <x v="14"/>
      <x v="3"/>
      <x v="5"/>
    </i>
    <i>
      <x v="7"/>
      <x v="6"/>
      <x v="3"/>
      <x v="7"/>
    </i>
    <i>
      <x v="8"/>
      <x v="5"/>
      <x v="5"/>
      <x v="6"/>
    </i>
    <i>
      <x v="9"/>
      <x v="19"/>
      <x v="6"/>
      <x v="8"/>
    </i>
    <i>
      <x v="10"/>
      <x v="4"/>
      <x v="7"/>
      <x v="5"/>
    </i>
    <i>
      <x v="11"/>
      <x v="16"/>
      <x v="7"/>
      <x v="6"/>
    </i>
    <i r="1">
      <x v="17"/>
      <x v="9"/>
      <x v="2"/>
    </i>
    <i>
      <x v="12"/>
      <x/>
      <x v="8"/>
      <x v="9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CD8278-723D-45AE-B103-5EC917E1A5F4}" name="TablaDinámica3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Q29:S31" firstHeaderRow="0" firstDataRow="1" firstDataCol="1"/>
  <pivotFields count="9">
    <pivotField axis="axisRow" showAll="0">
      <items count="56">
        <item h="1" x="6"/>
        <item h="1" m="1" x="22"/>
        <item h="1" m="1" x="24"/>
        <item h="1" m="1" x="45"/>
        <item h="1" m="1" x="50"/>
        <item h="1" m="1" x="29"/>
        <item h="1" m="1" x="47"/>
        <item h="1" m="1" x="39"/>
        <item h="1" m="1" x="42"/>
        <item h="1" m="1" x="31"/>
        <item h="1" m="1" x="27"/>
        <item h="1" m="1" x="25"/>
        <item h="1" m="1" x="40"/>
        <item h="1" x="19"/>
        <item h="1" x="2"/>
        <item h="1" m="1" x="34"/>
        <item h="1" m="1" x="36"/>
        <item h="1" m="1" x="54"/>
        <item h="1" m="1" x="38"/>
        <item h="1" x="13"/>
        <item h="1" m="1" x="51"/>
        <item h="1" m="1" x="41"/>
        <item h="1" m="1" x="30"/>
        <item h="1" m="1" x="32"/>
        <item h="1" m="1" x="46"/>
        <item h="1" m="1" x="37"/>
        <item h="1" m="1" x="26"/>
        <item h="1" x="7"/>
        <item x="11"/>
        <item h="1" m="1" x="49"/>
        <item h="1" m="1" x="28"/>
        <item h="1" m="1" x="43"/>
        <item h="1" m="1" x="33"/>
        <item h="1" m="1" x="48"/>
        <item h="1" m="1" x="35"/>
        <item h="1" m="1" x="23"/>
        <item h="1" m="1" x="52"/>
        <item h="1" m="1" x="53"/>
        <item h="1" m="1" x="44"/>
        <item h="1" x="0"/>
        <item h="1" x="1"/>
        <item h="1" x="3"/>
        <item h="1" x="4"/>
        <item h="1" x="5"/>
        <item h="1" x="8"/>
        <item h="1" x="9"/>
        <item h="1" x="10"/>
        <item h="1" x="12"/>
        <item h="1" x="14"/>
        <item h="1" x="15"/>
        <item h="1" x="16"/>
        <item h="1" x="17"/>
        <item h="1" x="18"/>
        <item h="1" x="20"/>
        <item h="1" x="21"/>
        <item t="default"/>
      </items>
    </pivotField>
    <pivotField dataField="1" showAll="0"/>
    <pivotField dataField="1" showAll="0"/>
    <pivotField showAll="0"/>
    <pivotField numFmtId="1" showAll="0"/>
    <pivotField numFmtId="1" showAll="0"/>
    <pivotField numFmtId="1" showAll="0"/>
    <pivotField showAll="0"/>
    <pivotField showAll="0"/>
  </pivotFields>
  <rowFields count="1">
    <field x="0"/>
  </rowFields>
  <rowItems count="2"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Vencidas" fld="1" baseField="0" baseItem="0"/>
    <dataField name="Suma de En Terminos" fld="2" baseField="0" baseItem="0"/>
  </dataFields>
  <formats count="6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LCALDÍA_LOCAL1" xr10:uid="{573BCAD5-6B68-49A3-BEFF-82DE9EF6D28D}" sourceName="ALCALDÍA LOCAL">
  <pivotTables>
    <pivotTable tabId="1" name="TablaDinámica1"/>
  </pivotTables>
  <data>
    <tabular pivotCacheId="1373196379">
      <items count="20">
        <i x="0"/>
        <i x="15"/>
        <i x="17"/>
        <i x="6"/>
        <i x="4"/>
        <i x="10"/>
        <i x="1"/>
        <i x="13"/>
        <i x="5" s="1"/>
        <i x="18"/>
        <i x="16"/>
        <i x="14"/>
        <i x="11"/>
        <i x="8"/>
        <i x="2"/>
        <i x="19"/>
        <i x="7"/>
        <i x="12"/>
        <i x="9"/>
        <i x="3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PENDENCIAS_DE_NIVEL_CENTRAL" xr10:uid="{C3B89DE0-B9AD-43FF-B1A6-89D274940FA6}" sourceName="DEPENDENCIAS DE NIVEL CENTRAL">
  <pivotTables>
    <pivotTable tabId="1" name="TablaDinámica3"/>
  </pivotTables>
  <data>
    <tabular pivotCacheId="1305446529">
      <items count="55">
        <i x="6"/>
        <i x="8"/>
        <i x="14"/>
        <i x="15"/>
        <i x="4"/>
        <i x="0"/>
        <i x="5"/>
        <i x="20"/>
        <i x="18"/>
        <i x="17"/>
        <i x="9"/>
        <i x="16"/>
        <i x="3"/>
        <i x="1"/>
        <i x="19"/>
        <i x="2"/>
        <i x="21"/>
        <i x="10"/>
        <i x="12"/>
        <i x="11" s="1"/>
        <i x="7"/>
        <i x="13"/>
        <i x="22" nd="1"/>
        <i x="23" nd="1"/>
        <i x="44" nd="1"/>
        <i x="24" nd="1"/>
        <i x="49" nd="1"/>
        <i x="45" nd="1"/>
        <i x="46" nd="1"/>
        <i x="50" nd="1"/>
        <i x="51" nd="1"/>
        <i x="29" nd="1"/>
        <i x="30" nd="1"/>
        <i x="47" nd="1"/>
        <i x="48" nd="1"/>
        <i x="39" nd="1"/>
        <i x="33" nd="1"/>
        <i x="42" nd="1"/>
        <i x="43" nd="1"/>
        <i x="31" nd="1"/>
        <i x="32" nd="1"/>
        <i x="27" nd="1"/>
        <i x="28" nd="1"/>
        <i x="25" nd="1"/>
        <i x="26" nd="1"/>
        <i x="40" nd="1"/>
        <i x="41" nd="1"/>
        <i x="34" nd="1"/>
        <i x="35" nd="1"/>
        <i x="36" nd="1"/>
        <i x="37" nd="1"/>
        <i x="52" nd="1"/>
        <i x="53" nd="1"/>
        <i x="54" nd="1"/>
        <i x="38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LCALDÍA LOCAL 2" xr10:uid="{593D5BBC-F25C-49D1-953E-EBAAC6990900}" cache="SegmentaciónDeDatos_ALCALDÍA_LOCAL1" caption="ALCALDÍA LOCAL" style="Mitema1" rowHeight="144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PENDENCIAS DE NIVEL CENTRAL 1" xr10:uid="{4E10CE36-1223-42E6-A8C1-5E86DA76D27E}" cache="SegmentaciónDeDatos_DEPENDENCIAS_DE_NIVEL_CENTRAL" caption="DEPENDENCIAS DE NIVEL CENTRAL" style="Mitema1" rowHeight="144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1A54AD-77CC-4AE4-9042-9D2F3DFBEE65}" name="Tabla2" displayName="Tabla2" ref="G2:O22" totalsRowShown="0" headerRowDxfId="37" dataDxfId="36" tableBorderDxfId="35">
  <autoFilter ref="G2:O22" xr:uid="{491A54AD-77CC-4AE4-9042-9D2F3DFBEE65}"/>
  <tableColumns count="9">
    <tableColumn id="1" xr3:uid="{58436967-4F96-49C1-896E-710EE90328DF}" name="ALCALDÍA LOCAL" dataDxfId="34">
      <calculatedColumnFormula>+B3</calculatedColumnFormula>
    </tableColumn>
    <tableColumn id="2" xr3:uid="{A3955055-5F32-4E87-A379-EC7A42729EE7}" name="Vencidas" dataDxfId="33">
      <calculatedColumnFormula>VLOOKUP(Tabla2[[#This Row],[ALCALDÍA LOCAL]],$B$65:$E$84,2,)</calculatedColumnFormula>
    </tableColumn>
    <tableColumn id="3" xr3:uid="{A277BDF5-04A5-49CD-8E16-602E46B22224}" name="En Terminos" dataDxfId="32">
      <calculatedColumnFormula>VLOOKUP(Tabla2[[#This Row],[ALCALDÍA LOCAL]],$B$2:$E$22,3,)</calculatedColumnFormula>
    </tableColumn>
    <tableColumn id="4" xr3:uid="{9512117D-9366-4638-994E-01CF2079A6D1}" name="TOTAL PQRS" dataDxfId="31">
      <calculatedColumnFormula>+E3</calculatedColumnFormula>
    </tableColumn>
    <tableColumn id="5" xr3:uid="{DD458AD4-ABD7-41A1-A21A-AEBAC12572C2}" name="PQRS Vencidas Sin Respuesta Bte 02/06/2023" dataDxfId="30">
      <calculatedColumnFormula>VLOOKUP(Tabla2[[#This Row],[ALCALDÍA LOCAL]],$B$65:$D$84,2,)</calculatedColumnFormula>
    </tableColumn>
    <tableColumn id="6" xr3:uid="{0BD38820-F9F5-418E-90C7-04F9A658296A}" name="PQRS Vencidas Con Respuesta Extemporánea Bte 29/05-02/06/2023" dataDxfId="29">
      <calculatedColumnFormula>VLOOKUP(Tabla2[[#This Row],[ALCALDÍA LOCAL]],$B$65:$D$84,3,)</calculatedColumnFormula>
    </tableColumn>
    <tableColumn id="7" xr3:uid="{8B5CD5B0-A813-43C2-AE19-4F4610045DDF}" name="PQRS Vencidas y Extemporaneas a 19/05/2022" dataDxfId="28">
      <calculatedColumnFormula>VLOOKUP(Tabla2[[#This Row],[ALCALDÍA LOCAL]],'Comparativo AL'!$B$486:$I$506,4,)</calculatedColumnFormula>
    </tableColumn>
    <tableColumn id="8" xr3:uid="{5B8BB341-8026-45F4-97EA-F48AD29EDCA0}" name="PQRS Vencidas y Extemporaneas a 26/05/2023" dataDxfId="27">
      <calculatedColumnFormula>VLOOKUP(Tabla2[[#This Row],[ALCALDÍA LOCAL]],'Comparativo AL'!$B$486:$I$506,6,)</calculatedColumnFormula>
    </tableColumn>
    <tableColumn id="9" xr3:uid="{266131A9-A612-4FEF-8C05-09DE04F3469C}" name="PQRS Vencidas y Extemporaneas a 02/06/2023" dataDxfId="26">
      <calculatedColumnFormula>VLOOKUP(Tabla2[[#This Row],[ALCALDÍA LOCAL]],'Comparativo AL'!$B$486:$I$506,8,)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009C35-BFDC-40C2-8BD3-3EB74A9E0927}" name="Tabla3" displayName="Tabla3" ref="G29:O51" totalsRowShown="0" headerRowDxfId="25" dataDxfId="24" tableBorderDxfId="23">
  <autoFilter ref="G29:O51" xr:uid="{D2009C35-BFDC-40C2-8BD3-3EB74A9E0927}"/>
  <tableColumns count="9">
    <tableColumn id="1" xr3:uid="{5450BEFB-1292-40EC-A13D-FF0D114901C5}" name="DEPENDENCIAS DE NIVEL CENTRAL" dataDxfId="22">
      <calculatedColumnFormula>+B30</calculatedColumnFormula>
    </tableColumn>
    <tableColumn id="2" xr3:uid="{C0CA90CE-5627-41DA-BECD-3FAA88FD12D1}" name="Vencidas" dataDxfId="21">
      <calculatedColumnFormula>VLOOKUP(Tabla3[[#This Row],[DEPENDENCIAS DE NIVEL CENTRAL]],$B$29:$E$51,2,)</calculatedColumnFormula>
    </tableColumn>
    <tableColumn id="3" xr3:uid="{175A8728-9F93-4AA3-AE80-804436EEC015}" name="En Terminos" dataDxfId="20">
      <calculatedColumnFormula>VLOOKUP(Tabla3[[#This Row],[DEPENDENCIAS DE NIVEL CENTRAL]],$B$29:$E$51,3,)</calculatedColumnFormula>
    </tableColumn>
    <tableColumn id="4" xr3:uid="{F787C180-8521-434D-8298-28F200221759}" name="TOTAL PQRS" dataDxfId="19">
      <calculatedColumnFormula>+E65</calculatedColumnFormula>
    </tableColumn>
    <tableColumn id="5" xr3:uid="{8EE86ED1-7E75-4062-9865-907491091694}" name="PQRS Vencidas Sin Respuesta Bte 02/06/2023" dataDxfId="18">
      <calculatedColumnFormula>VLOOKUP(Tabla3[[#This Row],[DEPENDENCIAS DE NIVEL CENTRAL]],$B$91:$E$113,2,)</calculatedColumnFormula>
    </tableColumn>
    <tableColumn id="6" xr3:uid="{C3ACEF57-0DF4-4EAA-811C-4C48939F3EDC}" name="PQRS Vencidas Con Respuesta Extemporánea Bte 29/05-02/06/2023" dataDxfId="17">
      <calculatedColumnFormula>VLOOKUP(Tabla3[[#This Row],[DEPENDENCIAS DE NIVEL CENTRAL]],$B$91:$E$113,3,)</calculatedColumnFormula>
    </tableColumn>
    <tableColumn id="7" xr3:uid="{9638BCE8-7813-41D3-ABA5-F9128329069A}" name="PQRS Vencidas y Extemporáneas a 19/05/2022" dataDxfId="16">
      <calculatedColumnFormula>VLOOKUP(Tabla3[[#This Row],[DEPENDENCIAS DE NIVEL CENTRAL]],'Comparativo NC'!$B$404:$H$426,3,)</calculatedColumnFormula>
    </tableColumn>
    <tableColumn id="8" xr3:uid="{0DC749E5-57A7-49CE-9505-1B16BE5CC28E}" name="PQRS Vencidas y Extemporáneas a 26/05/2023" dataDxfId="15">
      <calculatedColumnFormula>VLOOKUP(Tabla3[[#This Row],[DEPENDENCIAS DE NIVEL CENTRAL]],'Comparativo NC'!$B$404:$H$426,5,)</calculatedColumnFormula>
    </tableColumn>
    <tableColumn id="9" xr3:uid="{BA1E198D-ABC8-4EF5-A37E-1CE047CA46A5}" name="PQRS Vencidas y Extemporáneas a 02/06/2023" dataDxfId="14">
      <calculatedColumnFormula>VLOOKUP(Tabla3[[#This Row],[DEPENDENCIAS DE NIVEL CENTRAL]],'Comparativo NC'!$B$404:$H$426,7,)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ojo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07/relationships/slicer" Target="../slicers/slicer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microsoft.com/office/2007/relationships/slicer" Target="../slicers/slicer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C2C6E-5FEF-472C-B1F9-B54BCAE28BDD}">
  <dimension ref="B1:AO114"/>
  <sheetViews>
    <sheetView topLeftCell="I1" zoomScale="82" zoomScaleNormal="82" workbookViewId="0">
      <selection activeCell="K22" sqref="K22"/>
    </sheetView>
  </sheetViews>
  <sheetFormatPr baseColWidth="10" defaultColWidth="11.42578125" defaultRowHeight="15" x14ac:dyDescent="0.25"/>
  <cols>
    <col min="1" max="1" width="11.42578125" style="92"/>
    <col min="2" max="2" width="67.7109375" style="92" customWidth="1"/>
    <col min="3" max="6" width="18.7109375" style="92" customWidth="1"/>
    <col min="7" max="7" width="36.5703125" style="92" customWidth="1"/>
    <col min="8" max="8" width="16.7109375" style="92" bestFit="1" customWidth="1"/>
    <col min="9" max="9" width="19.7109375" style="92" bestFit="1" customWidth="1"/>
    <col min="10" max="10" width="49.7109375" style="92" bestFit="1" customWidth="1"/>
    <col min="11" max="11" width="63.42578125" style="92" customWidth="1"/>
    <col min="12" max="16" width="18.7109375" style="92" customWidth="1"/>
    <col min="17" max="17" width="17.7109375" style="92" bestFit="1" customWidth="1"/>
    <col min="18" max="18" width="16.7109375" style="92" bestFit="1" customWidth="1"/>
    <col min="19" max="19" width="20.28515625" style="92" bestFit="1" customWidth="1"/>
    <col min="20" max="20" width="71" style="92" bestFit="1" customWidth="1"/>
    <col min="21" max="21" width="50.85546875" style="92" bestFit="1" customWidth="1"/>
    <col min="22" max="22" width="16.7109375" style="92" bestFit="1" customWidth="1"/>
    <col min="23" max="23" width="18.7109375" style="92" customWidth="1"/>
    <col min="24" max="26" width="11.42578125" style="92"/>
    <col min="27" max="27" width="20.7109375" style="92" customWidth="1"/>
    <col min="28" max="33" width="11.42578125" style="92"/>
    <col min="34" max="34" width="8.28515625" style="92" customWidth="1"/>
    <col min="35" max="36" width="33.42578125" style="92" customWidth="1"/>
    <col min="37" max="37" width="61" style="92" bestFit="1" customWidth="1"/>
    <col min="38" max="16384" width="11.42578125" style="92"/>
  </cols>
  <sheetData>
    <row r="1" spans="2:41" ht="14.45" customHeight="1" thickTop="1" thickBot="1" x14ac:dyDescent="0.3">
      <c r="B1" s="91"/>
      <c r="C1" s="186" t="s">
        <v>118</v>
      </c>
      <c r="D1" s="186"/>
      <c r="E1" s="187"/>
      <c r="G1" s="92" t="str">
        <f>+C1</f>
        <v>SOLICITUDES PENDIENTES DE CIERRE BTE 02/06/2023</v>
      </c>
      <c r="M1" s="191" t="s">
        <v>108</v>
      </c>
      <c r="N1" s="192"/>
      <c r="O1" s="193"/>
      <c r="Q1" s="92" t="s">
        <v>127</v>
      </c>
      <c r="AH1" s="182" t="s">
        <v>127</v>
      </c>
    </row>
    <row r="2" spans="2:41" ht="15.75" thickBot="1" x14ac:dyDescent="0.3">
      <c r="B2" s="93" t="s">
        <v>0</v>
      </c>
      <c r="C2" s="94" t="s">
        <v>1</v>
      </c>
      <c r="D2" s="94" t="s">
        <v>2</v>
      </c>
      <c r="E2" s="94" t="s">
        <v>3</v>
      </c>
      <c r="G2" s="93" t="s">
        <v>0</v>
      </c>
      <c r="H2" s="94" t="s">
        <v>96</v>
      </c>
      <c r="I2" s="94" t="s">
        <v>97</v>
      </c>
      <c r="J2" s="95" t="s">
        <v>95</v>
      </c>
      <c r="K2" s="96" t="s">
        <v>116</v>
      </c>
      <c r="L2" s="96" t="s">
        <v>117</v>
      </c>
      <c r="M2" s="76" t="s">
        <v>146</v>
      </c>
      <c r="N2" s="166" t="s">
        <v>122</v>
      </c>
      <c r="O2" s="157" t="s">
        <v>123</v>
      </c>
      <c r="Q2" s="97" t="s">
        <v>90</v>
      </c>
      <c r="R2" s="92" t="s">
        <v>99</v>
      </c>
      <c r="S2" s="92" t="s">
        <v>100</v>
      </c>
      <c r="T2"/>
      <c r="U2"/>
      <c r="W2" s="98" t="s">
        <v>101</v>
      </c>
      <c r="X2" s="98" t="s">
        <v>103</v>
      </c>
      <c r="Y2" s="98" t="s">
        <v>104</v>
      </c>
      <c r="AA2" s="99" t="s">
        <v>101</v>
      </c>
      <c r="AB2" s="99" t="s">
        <v>92</v>
      </c>
      <c r="AC2" s="99" t="s">
        <v>104</v>
      </c>
      <c r="AH2" s="175" t="s">
        <v>41</v>
      </c>
      <c r="AI2" s="175" t="s">
        <v>40</v>
      </c>
      <c r="AJ2" s="175" t="s">
        <v>147</v>
      </c>
      <c r="AK2" s="175" t="s">
        <v>148</v>
      </c>
      <c r="AL2" s="92" t="s">
        <v>126</v>
      </c>
      <c r="AM2" s="98" t="s">
        <v>101</v>
      </c>
      <c r="AN2" s="98" t="s">
        <v>103</v>
      </c>
      <c r="AO2" s="98" t="s">
        <v>154</v>
      </c>
    </row>
    <row r="3" spans="2:41" x14ac:dyDescent="0.25">
      <c r="B3" s="100" t="s">
        <v>93</v>
      </c>
      <c r="C3" s="101">
        <v>26</v>
      </c>
      <c r="D3" s="101">
        <v>117</v>
      </c>
      <c r="E3" s="101">
        <f t="shared" ref="E3:E22" si="0">SUM(C3:D3)</f>
        <v>143</v>
      </c>
      <c r="G3" s="99" t="str">
        <f t="shared" ref="G3:G22" si="1">+B3</f>
        <v>A.L.  KENNEDY</v>
      </c>
      <c r="H3" s="100">
        <f>VLOOKUP(Tabla2[[#This Row],[ALCALDÍA LOCAL]],$B$65:$E$84,2,)</f>
        <v>15</v>
      </c>
      <c r="I3" s="100">
        <f>VLOOKUP(Tabla2[[#This Row],[ALCALDÍA LOCAL]],$B$2:$E$22,3,)</f>
        <v>117</v>
      </c>
      <c r="J3" s="100">
        <f t="shared" ref="J3:J18" si="2">+E3</f>
        <v>143</v>
      </c>
      <c r="K3" s="100">
        <f>VLOOKUP(Tabla2[[#This Row],[ALCALDÍA LOCAL]],$B$65:$D$84,2,)</f>
        <v>15</v>
      </c>
      <c r="L3" s="100">
        <f>VLOOKUP(Tabla2[[#This Row],[ALCALDÍA LOCAL]],$B$65:$D$84,3,)</f>
        <v>11</v>
      </c>
      <c r="M3" s="100">
        <f>VLOOKUP(Tabla2[[#This Row],[ALCALDÍA LOCAL]],'Comparativo AL'!$B$486:$I$506,4,)</f>
        <v>25</v>
      </c>
      <c r="N3" s="100">
        <f>VLOOKUP(Tabla2[[#This Row],[ALCALDÍA LOCAL]],'Comparativo AL'!$B$486:$I$506,6,)</f>
        <v>27</v>
      </c>
      <c r="O3" s="100">
        <f>VLOOKUP(Tabla2[[#This Row],[ALCALDÍA LOCAL]],'Comparativo AL'!$B$486:$I$506,8,)</f>
        <v>26</v>
      </c>
      <c r="Q3" s="102" t="s">
        <v>47</v>
      </c>
      <c r="R3" s="92">
        <v>1</v>
      </c>
      <c r="S3" s="92">
        <v>43</v>
      </c>
      <c r="T3"/>
      <c r="U3"/>
      <c r="W3" s="98" t="str">
        <f>+Q3</f>
        <v>A.L. FONTIBÓN</v>
      </c>
      <c r="X3" s="98" t="e">
        <f>+GETPIVOTDATA("Suma de PQRS Vencidas Sin Respuesta BTE 12/05/2023",$Q$2,"ALCALDÍA LOCAL","A.L.  KENNEDY")</f>
        <v>#REF!</v>
      </c>
      <c r="Y3" s="98" t="e">
        <f>+GETPIVOTDATA("Suma de PQRS Vencidas Con Respuesta Extemporanea BTE 08/05-12/05/2023",$Q$2,"ALCALDÍA LOCAL","A.L.  KENNEDY")</f>
        <v>#REF!</v>
      </c>
      <c r="AA3" s="99" t="str">
        <f>INDEX(W2:Y22,2,1)</f>
        <v>A.L. FONTIBÓN</v>
      </c>
      <c r="AB3" s="99">
        <f>DGET(Tabla2[#All],Tabla2[[#Headers],[Vencidas]],AA2:AA3)</f>
        <v>1</v>
      </c>
      <c r="AC3" s="99">
        <f>DGET(Tabla2[#All],Tabla2[[#Headers],[En Terminos]],AA2:AA3)</f>
        <v>43</v>
      </c>
      <c r="AH3" s="178">
        <v>0</v>
      </c>
      <c r="AI3" t="s">
        <v>44</v>
      </c>
      <c r="AJ3" s="178">
        <v>0</v>
      </c>
      <c r="AK3" s="178">
        <v>0</v>
      </c>
      <c r="AM3" s="98" t="str">
        <f>+AI3</f>
        <v>A.L. SAN CRISTÓBAL</v>
      </c>
      <c r="AN3" s="179">
        <f>+AJ3</f>
        <v>0</v>
      </c>
      <c r="AO3" s="179">
        <f>+AK3</f>
        <v>0</v>
      </c>
    </row>
    <row r="4" spans="2:41" x14ac:dyDescent="0.25">
      <c r="B4" s="100" t="s">
        <v>59</v>
      </c>
      <c r="C4" s="101">
        <v>11</v>
      </c>
      <c r="D4" s="101">
        <v>70</v>
      </c>
      <c r="E4" s="101">
        <f t="shared" si="0"/>
        <v>81</v>
      </c>
      <c r="G4" s="99" t="str">
        <f t="shared" si="1"/>
        <v>A.L. CIUDAD BOLÍVAR</v>
      </c>
      <c r="H4" s="100">
        <f>VLOOKUP(Tabla2[[#This Row],[ALCALDÍA LOCAL]],$B$65:$E$84,2,)</f>
        <v>3</v>
      </c>
      <c r="I4" s="100">
        <f>VLOOKUP(Tabla2[[#This Row],[ALCALDÍA LOCAL]],$B$2:$E$22,3,)</f>
        <v>70</v>
      </c>
      <c r="J4" s="100">
        <f t="shared" si="2"/>
        <v>81</v>
      </c>
      <c r="K4" s="100">
        <f>VLOOKUP(Tabla2[[#This Row],[ALCALDÍA LOCAL]],$B$65:$D$84,2,)</f>
        <v>3</v>
      </c>
      <c r="L4" s="100">
        <f>VLOOKUP(Tabla2[[#This Row],[ALCALDÍA LOCAL]],$B$65:$D$84,3,)</f>
        <v>8</v>
      </c>
      <c r="M4" s="100">
        <f>VLOOKUP(Tabla2[[#This Row],[ALCALDÍA LOCAL]],'Comparativo AL'!$B$486:$I$506,4,)</f>
        <v>36</v>
      </c>
      <c r="N4" s="100">
        <f>VLOOKUP(Tabla2[[#This Row],[ALCALDÍA LOCAL]],'Comparativo AL'!$B$486:$I$506,6,)</f>
        <v>22</v>
      </c>
      <c r="O4" s="100">
        <f>VLOOKUP(Tabla2[[#This Row],[ALCALDÍA LOCAL]],'Comparativo AL'!$B$486:$I$506,8,)</f>
        <v>11</v>
      </c>
      <c r="Q4" s="102" t="s">
        <v>89</v>
      </c>
      <c r="R4" s="92">
        <v>1</v>
      </c>
      <c r="S4" s="92">
        <v>43</v>
      </c>
      <c r="T4"/>
      <c r="U4"/>
      <c r="W4" s="98" t="str">
        <f t="shared" ref="W4:W22" si="3">+Q4</f>
        <v>Total general</v>
      </c>
      <c r="X4" s="98" t="e">
        <f>+GETPIVOTDATA("Suma de PQRS Vencidas Sin Respuesta BTE 12/05/2023",$Q$2,"ALCALDÍA LOCAL","A.L. ANTONIO NARINO")</f>
        <v>#REF!</v>
      </c>
      <c r="Y4" s="98" t="e">
        <f>+GETPIVOTDATA("Suma de PQRS Vencidas Con Respuesta Extemporanea BTE 08/05-12/05/2023",$Q$2,"ALCALDÍA LOCAL","A.L. ANTONIO NARINO")</f>
        <v>#REF!</v>
      </c>
      <c r="AH4" s="178">
        <v>2</v>
      </c>
      <c r="AI4" t="s">
        <v>48</v>
      </c>
      <c r="AJ4" s="178">
        <v>0</v>
      </c>
      <c r="AK4" s="178">
        <v>2</v>
      </c>
      <c r="AM4" s="98" t="str">
        <f t="shared" ref="AM4:AM22" si="4">+AI4</f>
        <v>A.L. BARRIOS UNIDOS</v>
      </c>
      <c r="AN4" s="179">
        <f t="shared" ref="AN4:AN22" si="5">+AJ4</f>
        <v>0</v>
      </c>
      <c r="AO4" s="179">
        <f t="shared" ref="AO4:AO22" si="6">+AK4</f>
        <v>2</v>
      </c>
    </row>
    <row r="5" spans="2:41" x14ac:dyDescent="0.25">
      <c r="B5" s="100" t="s">
        <v>55</v>
      </c>
      <c r="C5" s="101">
        <v>9</v>
      </c>
      <c r="D5" s="101">
        <v>67</v>
      </c>
      <c r="E5" s="101">
        <f t="shared" si="0"/>
        <v>76</v>
      </c>
      <c r="G5" s="99" t="str">
        <f t="shared" si="1"/>
        <v>A.L. SUBA</v>
      </c>
      <c r="H5" s="100">
        <f>VLOOKUP(Tabla2[[#This Row],[ALCALDÍA LOCAL]],$B$65:$E$84,2,)</f>
        <v>3</v>
      </c>
      <c r="I5" s="100">
        <f>VLOOKUP(Tabla2[[#This Row],[ALCALDÍA LOCAL]],$B$2:$E$22,3,)</f>
        <v>67</v>
      </c>
      <c r="J5" s="100">
        <f t="shared" si="2"/>
        <v>76</v>
      </c>
      <c r="K5" s="100">
        <f>VLOOKUP(Tabla2[[#This Row],[ALCALDÍA LOCAL]],$B$65:$D$84,2,)</f>
        <v>3</v>
      </c>
      <c r="L5" s="100">
        <f>VLOOKUP(Tabla2[[#This Row],[ALCALDÍA LOCAL]],$B$65:$D$84,3,)</f>
        <v>6</v>
      </c>
      <c r="M5" s="100">
        <f>VLOOKUP(Tabla2[[#This Row],[ALCALDÍA LOCAL]],'Comparativo AL'!$B$486:$I$506,4,)</f>
        <v>12</v>
      </c>
      <c r="N5" s="100">
        <f>VLOOKUP(Tabla2[[#This Row],[ALCALDÍA LOCAL]],'Comparativo AL'!$B$486:$I$506,6,)</f>
        <v>13</v>
      </c>
      <c r="O5" s="100">
        <f>VLOOKUP(Tabla2[[#This Row],[ALCALDÍA LOCAL]],'Comparativo AL'!$B$486:$I$506,8,)</f>
        <v>9</v>
      </c>
      <c r="Q5"/>
      <c r="R5"/>
      <c r="S5"/>
      <c r="T5"/>
      <c r="U5"/>
      <c r="W5" s="98">
        <f t="shared" si="3"/>
        <v>0</v>
      </c>
      <c r="X5" s="98" t="e">
        <f>+GETPIVOTDATA("Suma de PQRS Vencidas Sin Respuesta BTE 12/05/2023",$Q$2,"ALCALDÍA LOCAL","A.L. BARRIOS UNIDOS")</f>
        <v>#REF!</v>
      </c>
      <c r="Y5" s="98" t="e">
        <f>+GETPIVOTDATA("Suma de PQRS Vencidas Con Respuesta Extemporanea BTE 08/05-12/05/2023",$Q$2,"ALCALDÍA LOCAL","A.L. BARRIOS UNIDOS")</f>
        <v>#REF!</v>
      </c>
      <c r="AH5"/>
      <c r="AI5" t="s">
        <v>52</v>
      </c>
      <c r="AJ5" s="178">
        <v>0</v>
      </c>
      <c r="AK5" s="178">
        <v>2</v>
      </c>
      <c r="AM5" s="98" t="str">
        <f t="shared" si="4"/>
        <v>A.L. BOSA</v>
      </c>
      <c r="AN5" s="179">
        <f t="shared" si="5"/>
        <v>0</v>
      </c>
      <c r="AO5" s="179">
        <f t="shared" si="6"/>
        <v>2</v>
      </c>
    </row>
    <row r="6" spans="2:41" x14ac:dyDescent="0.25">
      <c r="B6" s="100" t="s">
        <v>46</v>
      </c>
      <c r="C6" s="101">
        <v>16</v>
      </c>
      <c r="D6" s="101">
        <v>33</v>
      </c>
      <c r="E6" s="101">
        <f t="shared" si="0"/>
        <v>49</v>
      </c>
      <c r="G6" s="99" t="str">
        <f t="shared" si="1"/>
        <v>A.L. USME</v>
      </c>
      <c r="H6" s="100">
        <f>VLOOKUP(Tabla2[[#This Row],[ALCALDÍA LOCAL]],$B$65:$E$84,2,)</f>
        <v>7</v>
      </c>
      <c r="I6" s="100">
        <f>VLOOKUP(Tabla2[[#This Row],[ALCALDÍA LOCAL]],$B$2:$E$22,3,)</f>
        <v>33</v>
      </c>
      <c r="J6" s="100">
        <f t="shared" si="2"/>
        <v>49</v>
      </c>
      <c r="K6" s="100">
        <f>VLOOKUP(Tabla2[[#This Row],[ALCALDÍA LOCAL]],$B$65:$D$84,2,)</f>
        <v>7</v>
      </c>
      <c r="L6" s="100">
        <f>VLOOKUP(Tabla2[[#This Row],[ALCALDÍA LOCAL]],$B$65:$D$84,3,)</f>
        <v>9</v>
      </c>
      <c r="M6" s="100">
        <f>VLOOKUP(Tabla2[[#This Row],[ALCALDÍA LOCAL]],'Comparativo AL'!$B$486:$I$506,4,)</f>
        <v>2</v>
      </c>
      <c r="N6" s="100">
        <f>VLOOKUP(Tabla2[[#This Row],[ALCALDÍA LOCAL]],'Comparativo AL'!$B$486:$I$506,6,)</f>
        <v>10</v>
      </c>
      <c r="O6" s="100">
        <f>VLOOKUP(Tabla2[[#This Row],[ALCALDÍA LOCAL]],'Comparativo AL'!$B$486:$I$506,8,)</f>
        <v>16</v>
      </c>
      <c r="Q6"/>
      <c r="R6"/>
      <c r="S6"/>
      <c r="T6"/>
      <c r="U6"/>
      <c r="W6" s="98">
        <f t="shared" si="3"/>
        <v>0</v>
      </c>
      <c r="X6" s="98" t="e">
        <f>+GETPIVOTDATA("Suma de PQRS Vencidas Sin Respuesta BTE 12/05/2023",$Q$2,"ALCALDÍA LOCAL","A.L. BOSA")</f>
        <v>#REF!</v>
      </c>
      <c r="Y6" s="98" t="e">
        <f>+GETPIVOTDATA("Suma de PQRS Vencidas Con Respuesta Extemporanea BTE 08/05-12/05/2023",$Q$2,"ALCALDÍA LOCAL","A.L. BOSA")</f>
        <v>#REF!</v>
      </c>
      <c r="AA6" s="99" t="s">
        <v>101</v>
      </c>
      <c r="AB6" s="99" t="s">
        <v>92</v>
      </c>
      <c r="AC6" s="99" t="s">
        <v>155</v>
      </c>
      <c r="AD6" s="99" t="s">
        <v>104</v>
      </c>
      <c r="AH6"/>
      <c r="AI6" t="s">
        <v>42</v>
      </c>
      <c r="AJ6" s="178">
        <v>0</v>
      </c>
      <c r="AK6" s="178">
        <v>2</v>
      </c>
      <c r="AM6" s="98" t="str">
        <f t="shared" si="4"/>
        <v xml:space="preserve">A.L. ENGATIVA </v>
      </c>
      <c r="AN6" s="179">
        <f t="shared" si="5"/>
        <v>0</v>
      </c>
      <c r="AO6" s="179">
        <f t="shared" si="6"/>
        <v>2</v>
      </c>
    </row>
    <row r="7" spans="2:41" x14ac:dyDescent="0.25">
      <c r="B7" s="100" t="s">
        <v>57</v>
      </c>
      <c r="C7" s="101">
        <v>17</v>
      </c>
      <c r="D7" s="101">
        <v>31</v>
      </c>
      <c r="E7" s="101">
        <f t="shared" si="0"/>
        <v>48</v>
      </c>
      <c r="G7" s="99" t="str">
        <f t="shared" si="1"/>
        <v>A.L. CANDELARIA</v>
      </c>
      <c r="H7" s="100">
        <f>VLOOKUP(Tabla2[[#This Row],[ALCALDÍA LOCAL]],$B$65:$E$84,2,)</f>
        <v>11</v>
      </c>
      <c r="I7" s="100">
        <f>VLOOKUP(Tabla2[[#This Row],[ALCALDÍA LOCAL]],$B$2:$E$22,3,)</f>
        <v>31</v>
      </c>
      <c r="J7" s="100">
        <f t="shared" si="2"/>
        <v>48</v>
      </c>
      <c r="K7" s="100">
        <f>VLOOKUP(Tabla2[[#This Row],[ALCALDÍA LOCAL]],$B$65:$D$84,2,)</f>
        <v>11</v>
      </c>
      <c r="L7" s="100">
        <f>VLOOKUP(Tabla2[[#This Row],[ALCALDÍA LOCAL]],$B$65:$D$84,3,)</f>
        <v>6</v>
      </c>
      <c r="M7" s="100">
        <f>VLOOKUP(Tabla2[[#This Row],[ALCALDÍA LOCAL]],'Comparativo AL'!$B$486:$I$506,4,)</f>
        <v>16</v>
      </c>
      <c r="N7" s="100">
        <f>VLOOKUP(Tabla2[[#This Row],[ALCALDÍA LOCAL]],'Comparativo AL'!$B$486:$I$506,6,)</f>
        <v>16</v>
      </c>
      <c r="O7" s="100">
        <f>VLOOKUP(Tabla2[[#This Row],[ALCALDÍA LOCAL]],'Comparativo AL'!$B$486:$I$506,8,)</f>
        <v>17</v>
      </c>
      <c r="Q7"/>
      <c r="R7"/>
      <c r="S7"/>
      <c r="T7"/>
      <c r="U7"/>
      <c r="W7" s="98">
        <f t="shared" si="3"/>
        <v>0</v>
      </c>
      <c r="X7" s="98" t="e">
        <f>+GETPIVOTDATA("Suma de PQRS Vencidas Sin Respuesta BTE 12/05/2023",$Q$2,"ALCALDÍA LOCAL","A.L. CANDELARIA")</f>
        <v>#REF!</v>
      </c>
      <c r="Y7" s="98" t="e">
        <f>+GETPIVOTDATA("Suma de PQRS Vencidas Con Respuesta Extemporanea BTE 08/05-12/05/2023",$Q$2,"ALCALDÍA LOCAL","A.L. CANDELARIA")</f>
        <v>#REF!</v>
      </c>
      <c r="AA7" s="99" t="str">
        <f>INDEX(W2:Y22,2,1)</f>
        <v>A.L. FONTIBÓN</v>
      </c>
      <c r="AB7" s="99">
        <f>DGET(Tabla2[#All],Tabla2[[#Headers],[PQRS Vencidas Sin Respuesta Bte 02/06/2023]],AA6:AA7)</f>
        <v>1</v>
      </c>
      <c r="AC7" s="99">
        <f>DGET(Tabla2[#All],Tabla2[[#Headers],[PQRS Vencidas Con Respuesta Extemporánea Bte 29/05-02/06/2023]],AA6:AA7)</f>
        <v>3</v>
      </c>
      <c r="AD7" s="99">
        <f>DGET(Tabla2[#All],Tabla2[[#Headers],[En Terminos]],AA6:AA7)</f>
        <v>43</v>
      </c>
      <c r="AH7"/>
      <c r="AI7" t="s">
        <v>45</v>
      </c>
      <c r="AJ7" s="178">
        <v>2</v>
      </c>
      <c r="AK7" s="178">
        <v>0</v>
      </c>
      <c r="AM7" s="98" t="str">
        <f t="shared" si="4"/>
        <v>A.L. SUMAPAZ</v>
      </c>
      <c r="AN7" s="179">
        <f t="shared" si="5"/>
        <v>2</v>
      </c>
      <c r="AO7" s="179">
        <f t="shared" si="6"/>
        <v>0</v>
      </c>
    </row>
    <row r="8" spans="2:41" x14ac:dyDescent="0.25">
      <c r="B8" s="100" t="s">
        <v>47</v>
      </c>
      <c r="C8" s="101">
        <v>4</v>
      </c>
      <c r="D8" s="101">
        <v>43</v>
      </c>
      <c r="E8" s="101">
        <f t="shared" si="0"/>
        <v>47</v>
      </c>
      <c r="G8" s="99" t="str">
        <f t="shared" si="1"/>
        <v>A.L. FONTIBÓN</v>
      </c>
      <c r="H8" s="100">
        <f>VLOOKUP(Tabla2[[#This Row],[ALCALDÍA LOCAL]],$B$65:$E$84,2,)</f>
        <v>1</v>
      </c>
      <c r="I8" s="100">
        <f>VLOOKUP(Tabla2[[#This Row],[ALCALDÍA LOCAL]],$B$2:$E$22,3,)</f>
        <v>43</v>
      </c>
      <c r="J8" s="100">
        <f t="shared" si="2"/>
        <v>47</v>
      </c>
      <c r="K8" s="100">
        <f>VLOOKUP(Tabla2[[#This Row],[ALCALDÍA LOCAL]],$B$65:$D$84,2,)</f>
        <v>1</v>
      </c>
      <c r="L8" s="100">
        <f>VLOOKUP(Tabla2[[#This Row],[ALCALDÍA LOCAL]],$B$65:$D$84,3,)</f>
        <v>3</v>
      </c>
      <c r="M8" s="100">
        <f>VLOOKUP(Tabla2[[#This Row],[ALCALDÍA LOCAL]],'Comparativo AL'!$B$486:$I$506,4,)</f>
        <v>7</v>
      </c>
      <c r="N8" s="100">
        <f>VLOOKUP(Tabla2[[#This Row],[ALCALDÍA LOCAL]],'Comparativo AL'!$B$486:$I$506,6,)</f>
        <v>8</v>
      </c>
      <c r="O8" s="100">
        <f>VLOOKUP(Tabla2[[#This Row],[ALCALDÍA LOCAL]],'Comparativo AL'!$B$486:$I$506,8,)</f>
        <v>4</v>
      </c>
      <c r="Q8"/>
      <c r="R8"/>
      <c r="S8"/>
      <c r="T8"/>
      <c r="U8"/>
      <c r="W8" s="98">
        <f t="shared" si="3"/>
        <v>0</v>
      </c>
      <c r="X8" s="98" t="e">
        <f>+GETPIVOTDATA("Suma de PQRS Vencidas Sin Respuesta BTE 12/05/2023",$Q$2,"ALCALDÍA LOCAL","A.L. CHAPINERO")</f>
        <v>#REF!</v>
      </c>
      <c r="Y8" s="98" t="e">
        <f>+GETPIVOTDATA("Suma de PQRS Vencidas Con Respuesta Extemporanea BTE 08/05-12/05/2023",$Q$2,"ALCALDÍA LOCAL","A.L. CHAPINERO")</f>
        <v>#REF!</v>
      </c>
      <c r="AH8"/>
      <c r="AI8" t="s">
        <v>54</v>
      </c>
      <c r="AJ8" s="178">
        <v>1</v>
      </c>
      <c r="AK8" s="178">
        <v>1</v>
      </c>
      <c r="AM8" s="98" t="str">
        <f t="shared" si="4"/>
        <v>A.L. USAQUÉN</v>
      </c>
      <c r="AN8" s="179">
        <f t="shared" si="5"/>
        <v>1</v>
      </c>
      <c r="AO8" s="179">
        <f t="shared" si="6"/>
        <v>1</v>
      </c>
    </row>
    <row r="9" spans="2:41" x14ac:dyDescent="0.25">
      <c r="B9" s="100" t="s">
        <v>52</v>
      </c>
      <c r="C9" s="101">
        <v>2</v>
      </c>
      <c r="D9" s="101">
        <v>37</v>
      </c>
      <c r="E9" s="101">
        <f t="shared" si="0"/>
        <v>39</v>
      </c>
      <c r="G9" s="99" t="str">
        <f t="shared" si="1"/>
        <v>A.L. BOSA</v>
      </c>
      <c r="H9" s="100">
        <f>VLOOKUP(Tabla2[[#This Row],[ALCALDÍA LOCAL]],$B$65:$E$84,2,)</f>
        <v>0</v>
      </c>
      <c r="I9" s="100">
        <f>VLOOKUP(Tabla2[[#This Row],[ALCALDÍA LOCAL]],$B$2:$E$22,3,)</f>
        <v>37</v>
      </c>
      <c r="J9" s="100">
        <f t="shared" si="2"/>
        <v>39</v>
      </c>
      <c r="K9" s="100">
        <f>VLOOKUP(Tabla2[[#This Row],[ALCALDÍA LOCAL]],$B$65:$D$84,2,)</f>
        <v>0</v>
      </c>
      <c r="L9" s="100">
        <f>VLOOKUP(Tabla2[[#This Row],[ALCALDÍA LOCAL]],$B$65:$D$84,3,)</f>
        <v>2</v>
      </c>
      <c r="M9" s="100">
        <f>VLOOKUP(Tabla2[[#This Row],[ALCALDÍA LOCAL]],'Comparativo AL'!$B$486:$I$506,4,)</f>
        <v>5</v>
      </c>
      <c r="N9" s="100">
        <f>VLOOKUP(Tabla2[[#This Row],[ALCALDÍA LOCAL]],'Comparativo AL'!$B$486:$I$506,6,)</f>
        <v>1</v>
      </c>
      <c r="O9" s="100">
        <f>VLOOKUP(Tabla2[[#This Row],[ALCALDÍA LOCAL]],'Comparativo AL'!$B$486:$I$506,8,)</f>
        <v>2</v>
      </c>
      <c r="Q9"/>
      <c r="R9"/>
      <c r="S9"/>
      <c r="T9"/>
      <c r="U9"/>
      <c r="W9" s="98">
        <f t="shared" si="3"/>
        <v>0</v>
      </c>
      <c r="X9" s="98" t="e">
        <f>+GETPIVOTDATA("Suma de PQRS Vencidas Sin Respuesta BTE 12/05/2023",$Q$2,"ALCALDÍA LOCAL","A.L. CIUDAD BOLÍVAR")</f>
        <v>#REF!</v>
      </c>
      <c r="Y9" s="98" t="e">
        <f>+GETPIVOTDATA("Suma de PQRS Vencidas Con Respuesta Extemporanea BTE 08/05-12/05/2023",$Q$2,"ALCALDÍA LOCAL","A.L. CIUDAD BOLÍVAR")</f>
        <v>#REF!</v>
      </c>
      <c r="AH9" s="178">
        <v>3</v>
      </c>
      <c r="AI9" t="s">
        <v>50</v>
      </c>
      <c r="AJ9" s="178">
        <v>0</v>
      </c>
      <c r="AK9" s="178">
        <v>3</v>
      </c>
      <c r="AM9" s="98" t="str">
        <f t="shared" si="4"/>
        <v>A.L. PUENTE ARANDA</v>
      </c>
      <c r="AN9" s="179">
        <f t="shared" si="5"/>
        <v>0</v>
      </c>
      <c r="AO9" s="179">
        <f t="shared" si="6"/>
        <v>3</v>
      </c>
    </row>
    <row r="10" spans="2:41" x14ac:dyDescent="0.25">
      <c r="B10" s="100" t="s">
        <v>51</v>
      </c>
      <c r="C10" s="101">
        <v>18</v>
      </c>
      <c r="D10" s="101">
        <v>20</v>
      </c>
      <c r="E10" s="101">
        <f t="shared" si="0"/>
        <v>38</v>
      </c>
      <c r="G10" s="99" t="str">
        <f t="shared" si="1"/>
        <v>A.L. TEUSAQUILLO</v>
      </c>
      <c r="H10" s="100">
        <f>VLOOKUP(Tabla2[[#This Row],[ALCALDÍA LOCAL]],$B$65:$E$84,2,)</f>
        <v>11</v>
      </c>
      <c r="I10" s="100">
        <f>VLOOKUP(Tabla2[[#This Row],[ALCALDÍA LOCAL]],$B$2:$E$22,3,)</f>
        <v>20</v>
      </c>
      <c r="J10" s="100">
        <f t="shared" si="2"/>
        <v>38</v>
      </c>
      <c r="K10" s="100">
        <f>VLOOKUP(Tabla2[[#This Row],[ALCALDÍA LOCAL]],$B$65:$D$84,2,)</f>
        <v>11</v>
      </c>
      <c r="L10" s="100">
        <f>VLOOKUP(Tabla2[[#This Row],[ALCALDÍA LOCAL]],$B$65:$D$84,3,)</f>
        <v>7</v>
      </c>
      <c r="M10" s="100">
        <f>VLOOKUP(Tabla2[[#This Row],[ALCALDÍA LOCAL]],'Comparativo AL'!$B$486:$I$506,4,)</f>
        <v>9</v>
      </c>
      <c r="N10" s="100">
        <f>VLOOKUP(Tabla2[[#This Row],[ALCALDÍA LOCAL]],'Comparativo AL'!$B$486:$I$506,6,)</f>
        <v>13</v>
      </c>
      <c r="O10" s="100">
        <f>VLOOKUP(Tabla2[[#This Row],[ALCALDÍA LOCAL]],'Comparativo AL'!$B$486:$I$506,8,)</f>
        <v>18</v>
      </c>
      <c r="Q10"/>
      <c r="R10"/>
      <c r="S10"/>
      <c r="T10"/>
      <c r="U10"/>
      <c r="W10" s="98">
        <f t="shared" si="3"/>
        <v>0</v>
      </c>
      <c r="X10" s="98" t="e">
        <f>+GETPIVOTDATA("Suma de PQRS Vencidas Sin Respuesta BTE 12/05/2023",$Q$2,"ALCALDÍA LOCAL","A.L. ENGATIVA ")</f>
        <v>#REF!</v>
      </c>
      <c r="Y10" s="98" t="e">
        <f>+GETPIVOTDATA("Suma de PQRS Vencidas Con Respuesta Extemporanea BTE 08/05-12/05/2023",$Q$2,"ALCALDÍA LOCAL","A.L. ENGATIVA ")</f>
        <v>#REF!</v>
      </c>
      <c r="AA10" s="99" t="s">
        <v>101</v>
      </c>
      <c r="AB10" s="99" t="str">
        <f>+Tabla2[[#Headers],[PQRS Vencidas y Extemporaneas a 19/05/2022]]</f>
        <v>PQRS Vencidas y Extemporaneas a 19/05/2022</v>
      </c>
      <c r="AC10" s="99" t="str">
        <f>+Tabla2[[#Headers],[PQRS Vencidas y Extemporaneas a 26/05/2023]]</f>
        <v>PQRS Vencidas y Extemporaneas a 26/05/2023</v>
      </c>
      <c r="AD10" s="99" t="str">
        <f>+Tabla2[[#Headers],[PQRS Vencidas y Extemporaneas a 02/06/2023]]</f>
        <v>PQRS Vencidas y Extemporaneas a 02/06/2023</v>
      </c>
      <c r="AH10" s="178">
        <v>4</v>
      </c>
      <c r="AI10" t="s">
        <v>47</v>
      </c>
      <c r="AJ10" s="178">
        <v>1</v>
      </c>
      <c r="AK10" s="178">
        <v>3</v>
      </c>
      <c r="AM10" s="98" t="str">
        <f t="shared" si="4"/>
        <v>A.L. FONTIBÓN</v>
      </c>
      <c r="AN10" s="179">
        <f t="shared" si="5"/>
        <v>1</v>
      </c>
      <c r="AO10" s="179">
        <f t="shared" si="6"/>
        <v>3</v>
      </c>
    </row>
    <row r="11" spans="2:41" x14ac:dyDescent="0.25">
      <c r="B11" s="100" t="s">
        <v>58</v>
      </c>
      <c r="C11" s="101">
        <v>8</v>
      </c>
      <c r="D11" s="101">
        <v>27</v>
      </c>
      <c r="E11" s="101">
        <f t="shared" si="0"/>
        <v>35</v>
      </c>
      <c r="G11" s="99" t="str">
        <f t="shared" si="1"/>
        <v>A.L. SANTA FE</v>
      </c>
      <c r="H11" s="100">
        <f>VLOOKUP(Tabla2[[#This Row],[ALCALDÍA LOCAL]],$B$65:$E$84,2,)</f>
        <v>7</v>
      </c>
      <c r="I11" s="100">
        <f>VLOOKUP(Tabla2[[#This Row],[ALCALDÍA LOCAL]],$B$2:$E$22,3,)</f>
        <v>27</v>
      </c>
      <c r="J11" s="100">
        <f t="shared" si="2"/>
        <v>35</v>
      </c>
      <c r="K11" s="100">
        <f>VLOOKUP(Tabla2[[#This Row],[ALCALDÍA LOCAL]],$B$65:$D$84,2,)</f>
        <v>7</v>
      </c>
      <c r="L11" s="100">
        <f>VLOOKUP(Tabla2[[#This Row],[ALCALDÍA LOCAL]],$B$65:$D$84,3,)</f>
        <v>1</v>
      </c>
      <c r="M11" s="100">
        <f>VLOOKUP(Tabla2[[#This Row],[ALCALDÍA LOCAL]],'Comparativo AL'!$B$486:$I$506,4,)</f>
        <v>16</v>
      </c>
      <c r="N11" s="100">
        <f>VLOOKUP(Tabla2[[#This Row],[ALCALDÍA LOCAL]],'Comparativo AL'!$B$486:$I$506,6,)</f>
        <v>9</v>
      </c>
      <c r="O11" s="100">
        <f>VLOOKUP(Tabla2[[#This Row],[ALCALDÍA LOCAL]],'Comparativo AL'!$B$486:$I$506,8,)</f>
        <v>8</v>
      </c>
      <c r="Q11"/>
      <c r="R11"/>
      <c r="S11"/>
      <c r="T11"/>
      <c r="U11"/>
      <c r="W11" s="98">
        <f t="shared" si="3"/>
        <v>0</v>
      </c>
      <c r="X11" s="98" t="e">
        <f>+GETPIVOTDATA("Suma de PQRS Vencidas Sin Respuesta BTE 12/05/2023",$Q$2,"ALCALDÍA LOCAL","A.L. FONTIBÓN")</f>
        <v>#REF!</v>
      </c>
      <c r="Y11" s="98" t="e">
        <f>+GETPIVOTDATA("Suma de PQRS Vencidas Con Respuesta Extemporanea BTE 08/05-12/05/2023",$Q$2,"ALCALDÍA LOCAL","A.L. FONTIBÓN")</f>
        <v>#REF!</v>
      </c>
      <c r="AA11" s="99" t="str">
        <f>INDEX(W2:Y22,2,1)</f>
        <v>A.L. FONTIBÓN</v>
      </c>
      <c r="AB11" s="99">
        <f>DGET(Tabla2[#All],Tabla2[[#Headers],[PQRS Vencidas y Extemporaneas a 19/05/2022]],AA10:AA11)</f>
        <v>7</v>
      </c>
      <c r="AC11" s="99">
        <f>DGET(Tabla2[#All],Tabla2[[#Headers],[PQRS Vencidas y Extemporaneas a 26/05/2023]],AA10:AA11)</f>
        <v>8</v>
      </c>
      <c r="AD11" s="99">
        <f>DGET(Tabla2[#All],Tabla2[[#Headers],[PQRS Vencidas y Extemporaneas a 02/06/2023]],AA10:AA11)</f>
        <v>4</v>
      </c>
      <c r="AH11" s="178">
        <v>5</v>
      </c>
      <c r="AI11" t="s">
        <v>43</v>
      </c>
      <c r="AJ11" s="178">
        <v>3</v>
      </c>
      <c r="AK11" s="178">
        <v>2</v>
      </c>
      <c r="AM11" s="98" t="str">
        <f t="shared" si="4"/>
        <v>A.L. MARTÍRES</v>
      </c>
      <c r="AN11" s="179">
        <f t="shared" si="5"/>
        <v>3</v>
      </c>
      <c r="AO11" s="179">
        <f t="shared" si="6"/>
        <v>2</v>
      </c>
    </row>
    <row r="12" spans="2:41" x14ac:dyDescent="0.25">
      <c r="B12" s="100" t="s">
        <v>54</v>
      </c>
      <c r="C12" s="101">
        <v>2</v>
      </c>
      <c r="D12" s="101">
        <v>30</v>
      </c>
      <c r="E12" s="101">
        <f t="shared" si="0"/>
        <v>32</v>
      </c>
      <c r="G12" s="99" t="str">
        <f t="shared" si="1"/>
        <v>A.L. USAQUÉN</v>
      </c>
      <c r="H12" s="100">
        <f>VLOOKUP(Tabla2[[#This Row],[ALCALDÍA LOCAL]],$B$65:$E$84,2,)</f>
        <v>1</v>
      </c>
      <c r="I12" s="100">
        <f>VLOOKUP(Tabla2[[#This Row],[ALCALDÍA LOCAL]],$B$2:$E$22,3,)</f>
        <v>30</v>
      </c>
      <c r="J12" s="100">
        <f t="shared" si="2"/>
        <v>32</v>
      </c>
      <c r="K12" s="100">
        <f>VLOOKUP(Tabla2[[#This Row],[ALCALDÍA LOCAL]],$B$65:$D$84,2,)</f>
        <v>1</v>
      </c>
      <c r="L12" s="100">
        <f>VLOOKUP(Tabla2[[#This Row],[ALCALDÍA LOCAL]],$B$65:$D$84,3,)</f>
        <v>1</v>
      </c>
      <c r="M12" s="100">
        <f>VLOOKUP(Tabla2[[#This Row],[ALCALDÍA LOCAL]],'Comparativo AL'!$B$486:$I$506,4,)</f>
        <v>8</v>
      </c>
      <c r="N12" s="100">
        <f>VLOOKUP(Tabla2[[#This Row],[ALCALDÍA LOCAL]],'Comparativo AL'!$B$486:$I$506,6,)</f>
        <v>5</v>
      </c>
      <c r="O12" s="100">
        <f>VLOOKUP(Tabla2[[#This Row],[ALCALDÍA LOCAL]],'Comparativo AL'!$B$486:$I$506,8,)</f>
        <v>2</v>
      </c>
      <c r="Q12"/>
      <c r="R12"/>
      <c r="S12"/>
      <c r="T12"/>
      <c r="U12"/>
      <c r="W12" s="98">
        <f t="shared" si="3"/>
        <v>0</v>
      </c>
      <c r="X12" s="98" t="e">
        <f>+GETPIVOTDATA("Suma de PQRS Vencidas Sin Respuesta BTE 12/05/2023",$Q$2,"ALCALDÍA LOCAL","A.L. MARTÍRES")</f>
        <v>#REF!</v>
      </c>
      <c r="Y12" s="98" t="e">
        <f>+GETPIVOTDATA("Suma de PQRS Vencidas Con Respuesta Extemporanea BTE 08/05-12/05/2023",$Q$2,"ALCALDÍA LOCAL","A.L. MARTÍRES")</f>
        <v>#REF!</v>
      </c>
      <c r="AH12" s="178">
        <v>8</v>
      </c>
      <c r="AI12" t="s">
        <v>94</v>
      </c>
      <c r="AJ12" s="178">
        <v>6</v>
      </c>
      <c r="AK12" s="178">
        <v>2</v>
      </c>
      <c r="AM12" s="98" t="str">
        <f t="shared" si="4"/>
        <v>A.L. ANTONIO NARINO</v>
      </c>
      <c r="AN12" s="179">
        <f t="shared" si="5"/>
        <v>6</v>
      </c>
      <c r="AO12" s="179">
        <f t="shared" si="6"/>
        <v>2</v>
      </c>
    </row>
    <row r="13" spans="2:41" x14ac:dyDescent="0.25">
      <c r="B13" s="100" t="s">
        <v>56</v>
      </c>
      <c r="C13" s="101">
        <v>13</v>
      </c>
      <c r="D13" s="101">
        <v>19</v>
      </c>
      <c r="E13" s="101">
        <f t="shared" si="0"/>
        <v>32</v>
      </c>
      <c r="G13" s="99" t="str">
        <f t="shared" si="1"/>
        <v>A.L. CHAPINERO</v>
      </c>
      <c r="H13" s="100">
        <f>VLOOKUP(Tabla2[[#This Row],[ALCALDÍA LOCAL]],$B$65:$E$84,2,)</f>
        <v>6</v>
      </c>
      <c r="I13" s="100">
        <f>VLOOKUP(Tabla2[[#This Row],[ALCALDÍA LOCAL]],$B$2:$E$22,3,)</f>
        <v>19</v>
      </c>
      <c r="J13" s="100">
        <f t="shared" si="2"/>
        <v>32</v>
      </c>
      <c r="K13" s="100">
        <f>VLOOKUP(Tabla2[[#This Row],[ALCALDÍA LOCAL]],$B$65:$D$84,2,)</f>
        <v>6</v>
      </c>
      <c r="L13" s="100">
        <f>VLOOKUP(Tabla2[[#This Row],[ALCALDÍA LOCAL]],$B$65:$D$84,3,)</f>
        <v>7</v>
      </c>
      <c r="M13" s="100">
        <f>VLOOKUP(Tabla2[[#This Row],[ALCALDÍA LOCAL]],'Comparativo AL'!$B$486:$I$506,4,)</f>
        <v>14</v>
      </c>
      <c r="N13" s="100">
        <f>VLOOKUP(Tabla2[[#This Row],[ALCALDÍA LOCAL]],'Comparativo AL'!$B$486:$I$506,6,)</f>
        <v>9</v>
      </c>
      <c r="O13" s="100">
        <f>VLOOKUP(Tabla2[[#This Row],[ALCALDÍA LOCAL]],'Comparativo AL'!$B$486:$I$506,8,)</f>
        <v>13</v>
      </c>
      <c r="Q13"/>
      <c r="R13"/>
      <c r="S13"/>
      <c r="T13"/>
      <c r="U13"/>
      <c r="W13" s="98">
        <f t="shared" si="3"/>
        <v>0</v>
      </c>
      <c r="X13" s="98" t="e">
        <f>+GETPIVOTDATA("Suma de PQRS Vencidas Sin Respuesta BTE 12/05/2023",$Q$2,"ALCALDÍA LOCAL","A.L. PUENTE ARANDA")</f>
        <v>#REF!</v>
      </c>
      <c r="Y13" s="98" t="e">
        <f>+GETPIVOTDATA("Suma de PQRS Vencidas Con Respuesta Extemporanea BTE 08/05-12/05/2023",$Q$2,"ALCALDÍA LOCAL","A.L. PUENTE ARANDA")</f>
        <v>#REF!</v>
      </c>
      <c r="AH13"/>
      <c r="AI13" t="s">
        <v>58</v>
      </c>
      <c r="AJ13" s="178">
        <v>7</v>
      </c>
      <c r="AK13" s="178">
        <v>1</v>
      </c>
      <c r="AM13" s="98" t="str">
        <f t="shared" si="4"/>
        <v>A.L. SANTA FE</v>
      </c>
      <c r="AN13" s="179">
        <f t="shared" si="5"/>
        <v>7</v>
      </c>
      <c r="AO13" s="179">
        <f t="shared" si="6"/>
        <v>1</v>
      </c>
    </row>
    <row r="14" spans="2:41" x14ac:dyDescent="0.25">
      <c r="B14" s="100" t="s">
        <v>44</v>
      </c>
      <c r="C14" s="101">
        <v>0</v>
      </c>
      <c r="D14" s="101">
        <v>25</v>
      </c>
      <c r="E14" s="101">
        <f t="shared" si="0"/>
        <v>25</v>
      </c>
      <c r="G14" s="99" t="str">
        <f t="shared" si="1"/>
        <v>A.L. SAN CRISTÓBAL</v>
      </c>
      <c r="H14" s="100">
        <f>VLOOKUP(Tabla2[[#This Row],[ALCALDÍA LOCAL]],$B$65:$E$84,2,)</f>
        <v>0</v>
      </c>
      <c r="I14" s="100">
        <f>VLOOKUP(Tabla2[[#This Row],[ALCALDÍA LOCAL]],$B$2:$E$22,3,)</f>
        <v>25</v>
      </c>
      <c r="J14" s="100">
        <f t="shared" si="2"/>
        <v>25</v>
      </c>
      <c r="K14" s="100">
        <f>VLOOKUP(Tabla2[[#This Row],[ALCALDÍA LOCAL]],$B$65:$D$84,2,)</f>
        <v>0</v>
      </c>
      <c r="L14" s="100">
        <f>VLOOKUP(Tabla2[[#This Row],[ALCALDÍA LOCAL]],$B$65:$D$84,3,)</f>
        <v>0</v>
      </c>
      <c r="M14" s="100">
        <f>VLOOKUP(Tabla2[[#This Row],[ALCALDÍA LOCAL]],'Comparativo AL'!$B$486:$I$506,4,)</f>
        <v>0</v>
      </c>
      <c r="N14" s="100">
        <f>VLOOKUP(Tabla2[[#This Row],[ALCALDÍA LOCAL]],'Comparativo AL'!$B$486:$I$506,6,)</f>
        <v>0</v>
      </c>
      <c r="O14" s="100">
        <f>VLOOKUP(Tabla2[[#This Row],[ALCALDÍA LOCAL]],'Comparativo AL'!$B$486:$I$506,8,)</f>
        <v>0</v>
      </c>
      <c r="Q14"/>
      <c r="R14"/>
      <c r="S14"/>
      <c r="T14"/>
      <c r="U14"/>
      <c r="W14" s="98">
        <f t="shared" si="3"/>
        <v>0</v>
      </c>
      <c r="X14" s="98" t="e">
        <f>+GETPIVOTDATA("Suma de PQRS Vencidas Sin Respuesta BTE 12/05/2023",$Q$2,"ALCALDÍA LOCAL","A.L. RAFAEL URIBE")</f>
        <v>#REF!</v>
      </c>
      <c r="Y14" s="98" t="e">
        <f>+GETPIVOTDATA("Suma de PQRS Vencidas Con Respuesta Extemporanea BTE 08/05-12/05/2023",$Q$2,"ALCALDÍA LOCAL","A.L. RAFAEL URIBE")</f>
        <v>#REF!</v>
      </c>
      <c r="AH14" s="178">
        <v>9</v>
      </c>
      <c r="AI14" t="s">
        <v>49</v>
      </c>
      <c r="AJ14" s="178">
        <v>4</v>
      </c>
      <c r="AK14" s="178">
        <v>5</v>
      </c>
      <c r="AM14" s="98" t="str">
        <f t="shared" si="4"/>
        <v>A.L. RAFAEL URIBE</v>
      </c>
      <c r="AN14" s="179">
        <f t="shared" si="5"/>
        <v>4</v>
      </c>
      <c r="AO14" s="179">
        <f t="shared" si="6"/>
        <v>5</v>
      </c>
    </row>
    <row r="15" spans="2:41" x14ac:dyDescent="0.25">
      <c r="B15" s="100" t="s">
        <v>53</v>
      </c>
      <c r="C15" s="101">
        <v>18</v>
      </c>
      <c r="D15" s="101">
        <v>6</v>
      </c>
      <c r="E15" s="101">
        <f t="shared" si="0"/>
        <v>24</v>
      </c>
      <c r="G15" s="99" t="str">
        <f t="shared" si="1"/>
        <v>A.L. TUNJUELITO</v>
      </c>
      <c r="H15" s="100">
        <f>VLOOKUP(Tabla2[[#This Row],[ALCALDÍA LOCAL]],$B$65:$E$84,2,)</f>
        <v>16</v>
      </c>
      <c r="I15" s="100">
        <f>VLOOKUP(Tabla2[[#This Row],[ALCALDÍA LOCAL]],$B$2:$E$22,3,)</f>
        <v>6</v>
      </c>
      <c r="J15" s="100">
        <f t="shared" si="2"/>
        <v>24</v>
      </c>
      <c r="K15" s="100">
        <f>VLOOKUP(Tabla2[[#This Row],[ALCALDÍA LOCAL]],$B$65:$D$84,2,)</f>
        <v>16</v>
      </c>
      <c r="L15" s="100">
        <f>VLOOKUP(Tabla2[[#This Row],[ALCALDÍA LOCAL]],$B$65:$D$84,3,)</f>
        <v>2</v>
      </c>
      <c r="M15" s="100">
        <f>VLOOKUP(Tabla2[[#This Row],[ALCALDÍA LOCAL]],'Comparativo AL'!$B$486:$I$506,4,)</f>
        <v>11</v>
      </c>
      <c r="N15" s="100">
        <f>VLOOKUP(Tabla2[[#This Row],[ALCALDÍA LOCAL]],'Comparativo AL'!$B$486:$I$506,6,)</f>
        <v>11</v>
      </c>
      <c r="O15" s="100">
        <f>VLOOKUP(Tabla2[[#This Row],[ALCALDÍA LOCAL]],'Comparativo AL'!$B$486:$I$506,8,)</f>
        <v>18</v>
      </c>
      <c r="Q15"/>
      <c r="R15"/>
      <c r="S15"/>
      <c r="T15"/>
      <c r="U15"/>
      <c r="W15" s="98">
        <f t="shared" si="3"/>
        <v>0</v>
      </c>
      <c r="X15" s="98" t="e">
        <f>+GETPIVOTDATA("Suma de PQRS Vencidas Sin Respuesta BTE 12/05/2023",$Q$2,"ALCALDÍA LOCAL","A.L. SAN CRISTÓBAL")</f>
        <v>#REF!</v>
      </c>
      <c r="Y15" s="98" t="e">
        <f>+GETPIVOTDATA("Suma de PQRS Vencidas Con Respuesta Extemporanea BTE 08/05-12/05/2023",$Q$2,"ALCALDÍA LOCAL","A.L. SAN CRISTÓBAL")</f>
        <v>#REF!</v>
      </c>
      <c r="AH15"/>
      <c r="AI15" t="s">
        <v>55</v>
      </c>
      <c r="AJ15" s="178">
        <v>3</v>
      </c>
      <c r="AK15" s="178">
        <v>6</v>
      </c>
      <c r="AM15" s="98" t="str">
        <f t="shared" si="4"/>
        <v>A.L. SUBA</v>
      </c>
      <c r="AN15" s="179">
        <f t="shared" si="5"/>
        <v>3</v>
      </c>
      <c r="AO15" s="179">
        <f t="shared" si="6"/>
        <v>6</v>
      </c>
    </row>
    <row r="16" spans="2:41" x14ac:dyDescent="0.25">
      <c r="B16" s="100" t="s">
        <v>42</v>
      </c>
      <c r="C16" s="101">
        <v>2</v>
      </c>
      <c r="D16" s="101">
        <v>19</v>
      </c>
      <c r="E16" s="101">
        <f t="shared" si="0"/>
        <v>21</v>
      </c>
      <c r="G16" s="99" t="str">
        <f t="shared" si="1"/>
        <v xml:space="preserve">A.L. ENGATIVA </v>
      </c>
      <c r="H16" s="100">
        <f>VLOOKUP(Tabla2[[#This Row],[ALCALDÍA LOCAL]],$B$65:$E$84,2,)</f>
        <v>0</v>
      </c>
      <c r="I16" s="100">
        <f>VLOOKUP(Tabla2[[#This Row],[ALCALDÍA LOCAL]],$B$2:$E$22,3,)</f>
        <v>19</v>
      </c>
      <c r="J16" s="100">
        <f t="shared" si="2"/>
        <v>21</v>
      </c>
      <c r="K16" s="100">
        <f>VLOOKUP(Tabla2[[#This Row],[ALCALDÍA LOCAL]],$B$65:$D$84,2,)</f>
        <v>0</v>
      </c>
      <c r="L16" s="100">
        <f>VLOOKUP(Tabla2[[#This Row],[ALCALDÍA LOCAL]],$B$65:$D$84,3,)</f>
        <v>2</v>
      </c>
      <c r="M16" s="100">
        <f>VLOOKUP(Tabla2[[#This Row],[ALCALDÍA LOCAL]],'Comparativo AL'!$B$486:$I$506,4,)</f>
        <v>0</v>
      </c>
      <c r="N16" s="100">
        <f>VLOOKUP(Tabla2[[#This Row],[ALCALDÍA LOCAL]],'Comparativo AL'!$B$486:$I$506,6,)</f>
        <v>1</v>
      </c>
      <c r="O16" s="100">
        <f>VLOOKUP(Tabla2[[#This Row],[ALCALDÍA LOCAL]],'Comparativo AL'!$B$486:$I$506,8,)</f>
        <v>2</v>
      </c>
      <c r="Q16"/>
      <c r="R16"/>
      <c r="S16"/>
      <c r="T16"/>
      <c r="U16"/>
      <c r="W16" s="98">
        <f t="shared" si="3"/>
        <v>0</v>
      </c>
      <c r="X16" s="98" t="e">
        <f>+GETPIVOTDATA("Suma de PQRS Vencidas Sin Respuesta BTE 12/05/2023",$Q$2,"ALCALDÍA LOCAL","A.L. SANTA FE")</f>
        <v>#REF!</v>
      </c>
      <c r="Y16" s="98" t="e">
        <f>+GETPIVOTDATA("Suma de PQRS Vencidas Con Respuesta Extemporanea BTE 08/05-12/05/2023",$Q$2,"ALCALDÍA LOCAL","A.L. SANTA FE")</f>
        <v>#REF!</v>
      </c>
      <c r="AH16" s="178">
        <v>11</v>
      </c>
      <c r="AI16" t="s">
        <v>59</v>
      </c>
      <c r="AJ16" s="178">
        <v>3</v>
      </c>
      <c r="AK16" s="178">
        <v>8</v>
      </c>
      <c r="AM16" s="98" t="str">
        <f t="shared" si="4"/>
        <v>A.L. CIUDAD BOLÍVAR</v>
      </c>
      <c r="AN16" s="179">
        <f t="shared" si="5"/>
        <v>3</v>
      </c>
      <c r="AO16" s="179">
        <f t="shared" si="6"/>
        <v>8</v>
      </c>
    </row>
    <row r="17" spans="2:41" x14ac:dyDescent="0.25">
      <c r="B17" s="103" t="s">
        <v>49</v>
      </c>
      <c r="C17" s="101">
        <v>9</v>
      </c>
      <c r="D17" s="101">
        <v>12</v>
      </c>
      <c r="E17" s="101">
        <f t="shared" si="0"/>
        <v>21</v>
      </c>
      <c r="G17" s="99" t="str">
        <f t="shared" si="1"/>
        <v>A.L. RAFAEL URIBE</v>
      </c>
      <c r="H17" s="100">
        <f>VLOOKUP(Tabla2[[#This Row],[ALCALDÍA LOCAL]],$B$65:$E$84,2,)</f>
        <v>4</v>
      </c>
      <c r="I17" s="100">
        <f>VLOOKUP(Tabla2[[#This Row],[ALCALDÍA LOCAL]],$B$2:$E$22,3,)</f>
        <v>12</v>
      </c>
      <c r="J17" s="100">
        <f t="shared" si="2"/>
        <v>21</v>
      </c>
      <c r="K17" s="100">
        <f>VLOOKUP(Tabla2[[#This Row],[ALCALDÍA LOCAL]],$B$65:$D$84,2,)</f>
        <v>4</v>
      </c>
      <c r="L17" s="100">
        <f>VLOOKUP(Tabla2[[#This Row],[ALCALDÍA LOCAL]],$B$65:$D$84,3,)</f>
        <v>5</v>
      </c>
      <c r="M17" s="100">
        <f>VLOOKUP(Tabla2[[#This Row],[ALCALDÍA LOCAL]],'Comparativo AL'!$B$486:$I$506,4,)</f>
        <v>1</v>
      </c>
      <c r="N17" s="100">
        <f>VLOOKUP(Tabla2[[#This Row],[ALCALDÍA LOCAL]],'Comparativo AL'!$B$486:$I$506,6,)</f>
        <v>4</v>
      </c>
      <c r="O17" s="100">
        <f>VLOOKUP(Tabla2[[#This Row],[ALCALDÍA LOCAL]],'Comparativo AL'!$B$486:$I$506,8,)</f>
        <v>9</v>
      </c>
      <c r="Q17"/>
      <c r="R17"/>
      <c r="S17"/>
      <c r="T17"/>
      <c r="U17"/>
      <c r="W17" s="98">
        <f t="shared" si="3"/>
        <v>0</v>
      </c>
      <c r="X17" s="98" t="e">
        <f>+GETPIVOTDATA("Suma de PQRS Vencidas Sin Respuesta BTE 12/05/2023",$Q$2,"ALCALDÍA LOCAL","A.L. SUBA")</f>
        <v>#REF!</v>
      </c>
      <c r="Y17" s="98" t="e">
        <f>+GETPIVOTDATA("Suma de PQRS Vencidas Con Respuesta Extemporanea BTE 08/05-12/05/2023",$Q$2,"ALCALDÍA LOCAL","A.L. SUBA")</f>
        <v>#REF!</v>
      </c>
      <c r="AH17" s="178">
        <v>13</v>
      </c>
      <c r="AI17" t="s">
        <v>56</v>
      </c>
      <c r="AJ17" s="178">
        <v>6</v>
      </c>
      <c r="AK17" s="178">
        <v>7</v>
      </c>
      <c r="AM17" s="98" t="str">
        <f t="shared" si="4"/>
        <v>A.L. CHAPINERO</v>
      </c>
      <c r="AN17" s="179">
        <f t="shared" si="5"/>
        <v>6</v>
      </c>
      <c r="AO17" s="179">
        <f t="shared" si="6"/>
        <v>7</v>
      </c>
    </row>
    <row r="18" spans="2:41" x14ac:dyDescent="0.25">
      <c r="B18" s="100" t="s">
        <v>94</v>
      </c>
      <c r="C18" s="101">
        <v>8</v>
      </c>
      <c r="D18" s="101">
        <v>5</v>
      </c>
      <c r="E18" s="101">
        <f t="shared" si="0"/>
        <v>13</v>
      </c>
      <c r="G18" s="99" t="str">
        <f t="shared" si="1"/>
        <v>A.L. ANTONIO NARINO</v>
      </c>
      <c r="H18" s="100">
        <f>VLOOKUP(Tabla2[[#This Row],[ALCALDÍA LOCAL]],$B$65:$E$84,2,)</f>
        <v>6</v>
      </c>
      <c r="I18" s="100">
        <f>VLOOKUP(Tabla2[[#This Row],[ALCALDÍA LOCAL]],$B$2:$E$22,3,)</f>
        <v>5</v>
      </c>
      <c r="J18" s="100">
        <f t="shared" si="2"/>
        <v>13</v>
      </c>
      <c r="K18" s="100">
        <f>VLOOKUP(Tabla2[[#This Row],[ALCALDÍA LOCAL]],$B$65:$D$84,2,)</f>
        <v>6</v>
      </c>
      <c r="L18" s="100">
        <f>VLOOKUP(Tabla2[[#This Row],[ALCALDÍA LOCAL]],$B$65:$D$84,3,)</f>
        <v>2</v>
      </c>
      <c r="M18" s="100">
        <f>VLOOKUP(Tabla2[[#This Row],[ALCALDÍA LOCAL]],'Comparativo AL'!$B$486:$I$506,4,)</f>
        <v>5</v>
      </c>
      <c r="N18" s="100">
        <f>VLOOKUP(Tabla2[[#This Row],[ALCALDÍA LOCAL]],'Comparativo AL'!$B$486:$I$506,6,)</f>
        <v>8</v>
      </c>
      <c r="O18" s="100">
        <f>VLOOKUP(Tabla2[[#This Row],[ALCALDÍA LOCAL]],'Comparativo AL'!$B$486:$I$506,8,)</f>
        <v>8</v>
      </c>
      <c r="Q18"/>
      <c r="R18"/>
      <c r="S18"/>
      <c r="T18"/>
      <c r="U18"/>
      <c r="W18" s="98">
        <f t="shared" si="3"/>
        <v>0</v>
      </c>
      <c r="X18" s="98" t="e">
        <f>+GETPIVOTDATA("Suma de PQRS Vencidas Sin Respuesta BTE 12/05/2023",$Q$2,"ALCALDÍA LOCAL","A.L. SUMAPAZ")</f>
        <v>#REF!</v>
      </c>
      <c r="Y18" s="98" t="e">
        <f>+GETPIVOTDATA("Suma de PQRS Vencidas Con Respuesta Extemporanea BTE 08/05-12/05/2023",$Q$2,"ALCALDÍA LOCAL","A.L. SUMAPAZ")</f>
        <v>#REF!</v>
      </c>
      <c r="AH18" s="178">
        <v>16</v>
      </c>
      <c r="AI18" t="s">
        <v>46</v>
      </c>
      <c r="AJ18" s="178">
        <v>7</v>
      </c>
      <c r="AK18" s="178">
        <v>9</v>
      </c>
      <c r="AM18" s="98" t="str">
        <f t="shared" si="4"/>
        <v>A.L. USME</v>
      </c>
      <c r="AN18" s="179">
        <f t="shared" si="5"/>
        <v>7</v>
      </c>
      <c r="AO18" s="179">
        <f t="shared" si="6"/>
        <v>9</v>
      </c>
    </row>
    <row r="19" spans="2:41" x14ac:dyDescent="0.25">
      <c r="B19" s="100" t="s">
        <v>50</v>
      </c>
      <c r="C19" s="101">
        <v>3</v>
      </c>
      <c r="D19" s="101">
        <v>8</v>
      </c>
      <c r="E19" s="101">
        <f t="shared" si="0"/>
        <v>11</v>
      </c>
      <c r="G19" s="99" t="str">
        <f t="shared" si="1"/>
        <v>A.L. PUENTE ARANDA</v>
      </c>
      <c r="H19" s="100">
        <f>VLOOKUP(Tabla2[[#This Row],[ALCALDÍA LOCAL]],$B$65:$E$84,2,)</f>
        <v>0</v>
      </c>
      <c r="I19" s="100">
        <f>VLOOKUP(Tabla2[[#This Row],[ALCALDÍA LOCAL]],$B$2:$E$22,3,)</f>
        <v>8</v>
      </c>
      <c r="J19" s="100">
        <f t="shared" ref="J19:J22" si="7">+E19</f>
        <v>11</v>
      </c>
      <c r="K19" s="100">
        <f>VLOOKUP(Tabla2[[#This Row],[ALCALDÍA LOCAL]],$B$65:$D$84,2,)</f>
        <v>0</v>
      </c>
      <c r="L19" s="100">
        <f>VLOOKUP(Tabla2[[#This Row],[ALCALDÍA LOCAL]],$B$65:$D$84,3,)</f>
        <v>3</v>
      </c>
      <c r="M19" s="100">
        <f>VLOOKUP(Tabla2[[#This Row],[ALCALDÍA LOCAL]],'Comparativo AL'!$B$486:$I$506,4,)</f>
        <v>4</v>
      </c>
      <c r="N19" s="100">
        <f>VLOOKUP(Tabla2[[#This Row],[ALCALDÍA LOCAL]],'Comparativo AL'!$B$486:$I$506,6,)</f>
        <v>4</v>
      </c>
      <c r="O19" s="100">
        <f>VLOOKUP(Tabla2[[#This Row],[ALCALDÍA LOCAL]],'Comparativo AL'!$B$486:$I$506,8,)</f>
        <v>3</v>
      </c>
      <c r="Q19"/>
      <c r="R19"/>
      <c r="S19"/>
      <c r="T19"/>
      <c r="U19"/>
      <c r="W19" s="98">
        <f t="shared" si="3"/>
        <v>0</v>
      </c>
      <c r="X19" s="98" t="e">
        <f>+GETPIVOTDATA("Suma de PQRS Vencidas Sin Respuesta BTE 12/05/2023",$Q$2,"ALCALDÍA LOCAL","A.L. TEUSAQUILLO")</f>
        <v>#REF!</v>
      </c>
      <c r="Y19" s="98" t="e">
        <f>+GETPIVOTDATA("Suma de PQRS Vencidas Con Respuesta Extemporanea BTE 08/05-12/05/2023",$Q$2,"ALCALDÍA LOCAL","A.L. TEUSAQUILLO")</f>
        <v>#REF!</v>
      </c>
      <c r="AH19" s="178">
        <v>17</v>
      </c>
      <c r="AI19" t="s">
        <v>57</v>
      </c>
      <c r="AJ19" s="178">
        <v>11</v>
      </c>
      <c r="AK19" s="178">
        <v>6</v>
      </c>
      <c r="AM19" s="98" t="str">
        <f t="shared" si="4"/>
        <v>A.L. CANDELARIA</v>
      </c>
      <c r="AN19" s="179">
        <f t="shared" si="5"/>
        <v>11</v>
      </c>
      <c r="AO19" s="179">
        <f t="shared" si="6"/>
        <v>6</v>
      </c>
    </row>
    <row r="20" spans="2:41" x14ac:dyDescent="0.25">
      <c r="B20" s="100" t="s">
        <v>48</v>
      </c>
      <c r="C20" s="101">
        <v>2</v>
      </c>
      <c r="D20" s="101">
        <v>9</v>
      </c>
      <c r="E20" s="101">
        <f t="shared" si="0"/>
        <v>11</v>
      </c>
      <c r="G20" s="99" t="str">
        <f t="shared" si="1"/>
        <v>A.L. BARRIOS UNIDOS</v>
      </c>
      <c r="H20" s="100">
        <f>VLOOKUP(Tabla2[[#This Row],[ALCALDÍA LOCAL]],$B$65:$E$84,2,)</f>
        <v>0</v>
      </c>
      <c r="I20" s="100">
        <f>VLOOKUP(Tabla2[[#This Row],[ALCALDÍA LOCAL]],$B$2:$E$22,3,)</f>
        <v>9</v>
      </c>
      <c r="J20" s="100">
        <f t="shared" si="7"/>
        <v>11</v>
      </c>
      <c r="K20" s="100">
        <f>VLOOKUP(Tabla2[[#This Row],[ALCALDÍA LOCAL]],$B$65:$D$84,2,)</f>
        <v>0</v>
      </c>
      <c r="L20" s="100">
        <f>VLOOKUP(Tabla2[[#This Row],[ALCALDÍA LOCAL]],$B$65:$D$84,3,)</f>
        <v>2</v>
      </c>
      <c r="M20" s="100">
        <f>VLOOKUP(Tabla2[[#This Row],[ALCALDÍA LOCAL]],'Comparativo AL'!$B$486:$I$506,4,)</f>
        <v>2</v>
      </c>
      <c r="N20" s="100">
        <f>VLOOKUP(Tabla2[[#This Row],[ALCALDÍA LOCAL]],'Comparativo AL'!$B$486:$I$506,6,)</f>
        <v>1</v>
      </c>
      <c r="O20" s="100">
        <f>VLOOKUP(Tabla2[[#This Row],[ALCALDÍA LOCAL]],'Comparativo AL'!$B$486:$I$506,8,)</f>
        <v>2</v>
      </c>
      <c r="Q20"/>
      <c r="R20"/>
      <c r="S20"/>
      <c r="T20"/>
      <c r="U20"/>
      <c r="W20" s="98">
        <f t="shared" si="3"/>
        <v>0</v>
      </c>
      <c r="X20" s="98" t="e">
        <f>+GETPIVOTDATA("Suma de PQRS Vencidas Sin Respuesta BTE 12/05/2023",$Q$2,"ALCALDÍA LOCAL","A.L. TUNJUELITO")</f>
        <v>#REF!</v>
      </c>
      <c r="Y20" s="98" t="e">
        <f>+GETPIVOTDATA("Suma de PQRS Vencidas Con Respuesta Extemporanea BTE 08/05-12/05/2023",$Q$2,"ALCALDÍA LOCAL","A.L. TUNJUELITO")</f>
        <v>#REF!</v>
      </c>
      <c r="AH20" s="178">
        <v>18</v>
      </c>
      <c r="AI20" t="s">
        <v>51</v>
      </c>
      <c r="AJ20" s="178">
        <v>11</v>
      </c>
      <c r="AK20" s="178">
        <v>7</v>
      </c>
      <c r="AM20" s="98" t="str">
        <f t="shared" si="4"/>
        <v>A.L. TEUSAQUILLO</v>
      </c>
      <c r="AN20" s="179">
        <f t="shared" si="5"/>
        <v>11</v>
      </c>
      <c r="AO20" s="179">
        <f t="shared" si="6"/>
        <v>7</v>
      </c>
    </row>
    <row r="21" spans="2:41" x14ac:dyDescent="0.25">
      <c r="B21" s="100" t="s">
        <v>43</v>
      </c>
      <c r="C21" s="101">
        <v>5</v>
      </c>
      <c r="D21" s="101">
        <v>6</v>
      </c>
      <c r="E21" s="101">
        <f t="shared" si="0"/>
        <v>11</v>
      </c>
      <c r="G21" s="99" t="str">
        <f t="shared" si="1"/>
        <v>A.L. MARTÍRES</v>
      </c>
      <c r="H21" s="100">
        <f>VLOOKUP(Tabla2[[#This Row],[ALCALDÍA LOCAL]],$B$65:$E$84,2,)</f>
        <v>3</v>
      </c>
      <c r="I21" s="100">
        <f>VLOOKUP(Tabla2[[#This Row],[ALCALDÍA LOCAL]],$B$2:$E$22,3,)</f>
        <v>6</v>
      </c>
      <c r="J21" s="100">
        <f t="shared" si="7"/>
        <v>11</v>
      </c>
      <c r="K21" s="100">
        <f>VLOOKUP(Tabla2[[#This Row],[ALCALDÍA LOCAL]],$B$65:$D$84,2,)</f>
        <v>3</v>
      </c>
      <c r="L21" s="100">
        <f>VLOOKUP(Tabla2[[#This Row],[ALCALDÍA LOCAL]],$B$65:$D$84,3,)</f>
        <v>2</v>
      </c>
      <c r="M21" s="100">
        <f>VLOOKUP(Tabla2[[#This Row],[ALCALDÍA LOCAL]],'Comparativo AL'!$B$486:$I$506,4,)</f>
        <v>2</v>
      </c>
      <c r="N21" s="100">
        <f>VLOOKUP(Tabla2[[#This Row],[ALCALDÍA LOCAL]],'Comparativo AL'!$B$486:$I$506,6,)</f>
        <v>3</v>
      </c>
      <c r="O21" s="100">
        <f>VLOOKUP(Tabla2[[#This Row],[ALCALDÍA LOCAL]],'Comparativo AL'!$B$486:$I$506,8,)</f>
        <v>5</v>
      </c>
      <c r="Q21"/>
      <c r="R21"/>
      <c r="S21"/>
      <c r="T21"/>
      <c r="U21"/>
      <c r="W21" s="98">
        <f t="shared" si="3"/>
        <v>0</v>
      </c>
      <c r="X21" s="98" t="e">
        <f>+GETPIVOTDATA("Suma de PQRS Vencidas Sin Respuesta BTE 12/05/2023",$Q$2,"ALCALDÍA LOCAL","A.L. USAQUÉN")</f>
        <v>#REF!</v>
      </c>
      <c r="Y21" s="98" t="e">
        <f>+GETPIVOTDATA("Suma de PQRS Vencidas Con Respuesta Extemporanea BTE 08/05-12/05/2023",$Q$2,"ALCALDÍA LOCAL","A.L. USAQUÉN")</f>
        <v>#REF!</v>
      </c>
      <c r="AH21"/>
      <c r="AI21" t="s">
        <v>53</v>
      </c>
      <c r="AJ21" s="178">
        <v>16</v>
      </c>
      <c r="AK21" s="178">
        <v>2</v>
      </c>
      <c r="AM21" s="98" t="str">
        <f t="shared" si="4"/>
        <v>A.L. TUNJUELITO</v>
      </c>
      <c r="AN21" s="179">
        <f t="shared" si="5"/>
        <v>16</v>
      </c>
      <c r="AO21" s="179">
        <f t="shared" si="6"/>
        <v>2</v>
      </c>
    </row>
    <row r="22" spans="2:41" x14ac:dyDescent="0.25">
      <c r="B22" s="100" t="s">
        <v>45</v>
      </c>
      <c r="C22" s="101">
        <v>2</v>
      </c>
      <c r="D22" s="101">
        <v>0</v>
      </c>
      <c r="E22" s="101">
        <f t="shared" si="0"/>
        <v>2</v>
      </c>
      <c r="G22" s="99" t="str">
        <f t="shared" si="1"/>
        <v>A.L. SUMAPAZ</v>
      </c>
      <c r="H22" s="100">
        <f>VLOOKUP(Tabla2[[#This Row],[ALCALDÍA LOCAL]],$B$65:$E$84,2,)</f>
        <v>2</v>
      </c>
      <c r="I22" s="100">
        <f>VLOOKUP(Tabla2[[#This Row],[ALCALDÍA LOCAL]],$B$2:$E$22,3,)</f>
        <v>0</v>
      </c>
      <c r="J22" s="100">
        <f t="shared" si="7"/>
        <v>2</v>
      </c>
      <c r="K22" s="100">
        <f>VLOOKUP(Tabla2[[#This Row],[ALCALDÍA LOCAL]],$B$65:$D$84,2,)</f>
        <v>2</v>
      </c>
      <c r="L22" s="100">
        <f>VLOOKUP(Tabla2[[#This Row],[ALCALDÍA LOCAL]],$B$65:$D$84,3,)</f>
        <v>0</v>
      </c>
      <c r="M22" s="100">
        <f>VLOOKUP(Tabla2[[#This Row],[ALCALDÍA LOCAL]],'Comparativo AL'!$B$486:$I$506,4,)</f>
        <v>3</v>
      </c>
      <c r="N22" s="100">
        <f>VLOOKUP(Tabla2[[#This Row],[ALCALDÍA LOCAL]],'Comparativo AL'!$B$486:$I$506,6,)</f>
        <v>4</v>
      </c>
      <c r="O22" s="100">
        <f>VLOOKUP(Tabla2[[#This Row],[ALCALDÍA LOCAL]],'Comparativo AL'!$B$486:$I$506,8,)</f>
        <v>2</v>
      </c>
      <c r="Q22"/>
      <c r="R22"/>
      <c r="S22"/>
      <c r="T22"/>
      <c r="U22"/>
      <c r="W22" s="98">
        <f t="shared" si="3"/>
        <v>0</v>
      </c>
      <c r="X22" s="98" t="e">
        <f>+GETPIVOTDATA("Suma de PQRS Vencidas Sin Respuesta BTE 12/05/2023",$Q$2,"ALCALDÍA LOCAL","A.L. USME")</f>
        <v>#REF!</v>
      </c>
      <c r="Y22" s="98" t="e">
        <f>+GETPIVOTDATA("Suma de PQRS Vencidas Con Respuesta Extemporanea BTE 08/05-12/05/2023",$Q$2,"ALCALDÍA LOCAL","A.L. USME")</f>
        <v>#REF!</v>
      </c>
      <c r="AH22" s="178">
        <v>26</v>
      </c>
      <c r="AI22" t="s">
        <v>93</v>
      </c>
      <c r="AJ22" s="178">
        <v>15</v>
      </c>
      <c r="AK22" s="178">
        <v>11</v>
      </c>
      <c r="AM22" s="98" t="str">
        <f t="shared" si="4"/>
        <v>A.L.  KENNEDY</v>
      </c>
      <c r="AN22" s="179">
        <f t="shared" si="5"/>
        <v>15</v>
      </c>
      <c r="AO22" s="179">
        <f t="shared" si="6"/>
        <v>11</v>
      </c>
    </row>
    <row r="23" spans="2:41" x14ac:dyDescent="0.25">
      <c r="B23" s="104" t="s">
        <v>3</v>
      </c>
      <c r="C23" s="105">
        <f>SUM(C3:C22)</f>
        <v>175</v>
      </c>
      <c r="D23" s="105">
        <f>SUM(D3:D22)</f>
        <v>584</v>
      </c>
      <c r="E23" s="105">
        <f>SUM(E3:E22)</f>
        <v>759</v>
      </c>
      <c r="Q23"/>
      <c r="R23"/>
      <c r="S23"/>
      <c r="T23"/>
      <c r="U23"/>
    </row>
    <row r="27" spans="2:41" ht="15.75" thickBot="1" x14ac:dyDescent="0.3"/>
    <row r="28" spans="2:41" ht="14.45" customHeight="1" thickTop="1" thickBot="1" x14ac:dyDescent="0.3">
      <c r="B28" s="91"/>
      <c r="C28" s="186" t="s">
        <v>118</v>
      </c>
      <c r="D28" s="186"/>
      <c r="E28" s="187"/>
      <c r="G28" s="92" t="str">
        <f>+C28</f>
        <v>SOLICITUDES PENDIENTES DE CIERRE BTE 02/06/2023</v>
      </c>
      <c r="M28" s="191" t="s">
        <v>108</v>
      </c>
      <c r="N28" s="192"/>
      <c r="O28" s="193"/>
      <c r="AH28" s="182" t="s">
        <v>127</v>
      </c>
    </row>
    <row r="29" spans="2:41" ht="30.75" thickBot="1" x14ac:dyDescent="0.3">
      <c r="B29" s="106" t="s">
        <v>24</v>
      </c>
      <c r="C29" s="107" t="s">
        <v>1</v>
      </c>
      <c r="D29" s="107" t="s">
        <v>2</v>
      </c>
      <c r="E29" s="108" t="s">
        <v>3</v>
      </c>
      <c r="G29" s="93" t="s">
        <v>24</v>
      </c>
      <c r="H29" s="134" t="s">
        <v>96</v>
      </c>
      <c r="I29" s="134" t="s">
        <v>97</v>
      </c>
      <c r="J29" s="133" t="s">
        <v>95</v>
      </c>
      <c r="K29" s="132" t="s">
        <v>116</v>
      </c>
      <c r="L29" s="155" t="s">
        <v>117</v>
      </c>
      <c r="M29" s="76" t="s">
        <v>152</v>
      </c>
      <c r="N29" s="166" t="s">
        <v>150</v>
      </c>
      <c r="O29" s="157" t="s">
        <v>151</v>
      </c>
      <c r="Q29" s="97" t="s">
        <v>90</v>
      </c>
      <c r="R29" s="92" t="s">
        <v>99</v>
      </c>
      <c r="S29" s="92" t="s">
        <v>100</v>
      </c>
      <c r="T29"/>
      <c r="U29"/>
      <c r="W29" s="98" t="s">
        <v>105</v>
      </c>
      <c r="X29" s="98" t="s">
        <v>103</v>
      </c>
      <c r="Y29" s="98" t="s">
        <v>104</v>
      </c>
      <c r="AA29" s="99" t="s">
        <v>105</v>
      </c>
      <c r="AB29" s="99" t="s">
        <v>92</v>
      </c>
      <c r="AC29" s="99" t="s">
        <v>104</v>
      </c>
      <c r="AH29" s="175" t="s">
        <v>3</v>
      </c>
      <c r="AI29" s="175" t="s">
        <v>24</v>
      </c>
      <c r="AJ29" s="175" t="s">
        <v>147</v>
      </c>
      <c r="AK29" s="175" t="s">
        <v>148</v>
      </c>
    </row>
    <row r="30" spans="2:41" x14ac:dyDescent="0.25">
      <c r="B30" s="185" t="s">
        <v>129</v>
      </c>
      <c r="C30" s="130">
        <v>8</v>
      </c>
      <c r="D30" s="130">
        <v>8</v>
      </c>
      <c r="E30" s="119">
        <f t="shared" ref="E30:E51" si="8">+C30+D30</f>
        <v>16</v>
      </c>
      <c r="G30" s="99" t="str">
        <f t="shared" ref="G30:G51" si="9">+B30</f>
        <v>DIR. DE DERECHOS HUMANOS</v>
      </c>
      <c r="H30" s="135">
        <f>VLOOKUP(Tabla3[[#This Row],[DEPENDENCIAS DE NIVEL CENTRAL]],$B$29:$E$51,2,)</f>
        <v>8</v>
      </c>
      <c r="I30" s="135">
        <f>VLOOKUP(Tabla3[[#This Row],[DEPENDENCIAS DE NIVEL CENTRAL]],$B$29:$E$51,3,)</f>
        <v>8</v>
      </c>
      <c r="J30" s="135">
        <f t="shared" ref="J30:J39" si="10">+E65</f>
        <v>26</v>
      </c>
      <c r="K30" s="135">
        <f>VLOOKUP(Tabla3[[#This Row],[DEPENDENCIAS DE NIVEL CENTRAL]],$B$91:$E$113,2,)</f>
        <v>7</v>
      </c>
      <c r="L30" s="156">
        <f>VLOOKUP(Tabla3[[#This Row],[DEPENDENCIAS DE NIVEL CENTRAL]],$B$91:$E$113,3,)</f>
        <v>1</v>
      </c>
      <c r="M30" s="158">
        <f>VLOOKUP(Tabla3[[#This Row],[DEPENDENCIAS DE NIVEL CENTRAL]],'Comparativo NC'!$B$404:$H$426,3,)</f>
        <v>6</v>
      </c>
      <c r="N30" s="130">
        <f>VLOOKUP(Tabla3[[#This Row],[DEPENDENCIAS DE NIVEL CENTRAL]],'Comparativo NC'!$B$404:$H$426,5,)</f>
        <v>7</v>
      </c>
      <c r="O30" s="159">
        <f>VLOOKUP(Tabla3[[#This Row],[DEPENDENCIAS DE NIVEL CENTRAL]],'Comparativo NC'!$B$404:$H$426,7,)</f>
        <v>8</v>
      </c>
      <c r="Q30" s="102" t="s">
        <v>107</v>
      </c>
      <c r="R30" s="92">
        <v>0</v>
      </c>
      <c r="S30" s="92">
        <v>1</v>
      </c>
      <c r="T30"/>
      <c r="U30"/>
      <c r="W30" s="98" t="str">
        <f t="shared" ref="W30:W32" si="11">+Q30</f>
        <v>SUBSECRETARIA DE GESTIÓN INSTITUCIONAL</v>
      </c>
      <c r="X30" s="98" t="e">
        <f>+GETPIVOTDATA("Suma de Vencidas",$Q$29,"DEPENDENCIAS DE NIVEL CENTRAL","DESPACHO DEL SECRETARIO DE GOBIERNO ")</f>
        <v>#REF!</v>
      </c>
      <c r="Y30" s="98" t="e">
        <f>+GETPIVOTDATA("Suma de En Terminos",$Q$29,"DEPENDENCIAS DE NIVEL CENTRAL","DESPACHO DEL SECRETARIO DE GOBIERNO ")</f>
        <v>#REF!</v>
      </c>
      <c r="AA30" s="99" t="str">
        <f>INDEX(W29:Y51,2,1)</f>
        <v>SUBSECRETARIA DE GESTIÓN INSTITUCIONAL</v>
      </c>
      <c r="AB30" s="99">
        <f>VLOOKUP(AA30,Tabla3[#All],2,)</f>
        <v>0</v>
      </c>
      <c r="AC30" s="99">
        <f>VLOOKUP(AA30,Tabla3[#All],3,)</f>
        <v>1</v>
      </c>
      <c r="AH30" s="178">
        <v>0</v>
      </c>
      <c r="AI30" t="s">
        <v>30</v>
      </c>
      <c r="AJ30" s="178">
        <v>0</v>
      </c>
      <c r="AK30" s="178">
        <v>0</v>
      </c>
      <c r="AL30" s="92" t="s">
        <v>126</v>
      </c>
      <c r="AM30" s="98" t="s">
        <v>128</v>
      </c>
      <c r="AN30" s="98" t="s">
        <v>103</v>
      </c>
      <c r="AO30" s="98" t="s">
        <v>154</v>
      </c>
    </row>
    <row r="31" spans="2:41" x14ac:dyDescent="0.25">
      <c r="B31" s="180" t="s">
        <v>130</v>
      </c>
      <c r="C31" s="131">
        <v>7</v>
      </c>
      <c r="D31" s="101">
        <v>8</v>
      </c>
      <c r="E31" s="120">
        <f t="shared" si="8"/>
        <v>15</v>
      </c>
      <c r="G31" s="99" t="str">
        <f t="shared" si="9"/>
        <v>DIR. PARA LA GESTIÓN POLICIVA</v>
      </c>
      <c r="H31" s="135">
        <f>VLOOKUP(Tabla3[[#This Row],[DEPENDENCIAS DE NIVEL CENTRAL]],$B$29:$E$51,2,)</f>
        <v>7</v>
      </c>
      <c r="I31" s="135">
        <f>VLOOKUP(Tabla3[[#This Row],[DEPENDENCIAS DE NIVEL CENTRAL]],$B$29:$E$51,3,)</f>
        <v>8</v>
      </c>
      <c r="J31" s="135">
        <f t="shared" si="10"/>
        <v>18</v>
      </c>
      <c r="K31" s="135">
        <f>VLOOKUP(Tabla3[[#This Row],[DEPENDENCIAS DE NIVEL CENTRAL]],$B$91:$E$113,2,)</f>
        <v>3</v>
      </c>
      <c r="L31" s="156">
        <f>VLOOKUP(Tabla3[[#This Row],[DEPENDENCIAS DE NIVEL CENTRAL]],$B$91:$E$113,3,)</f>
        <v>4</v>
      </c>
      <c r="M31" s="160">
        <f>VLOOKUP(Tabla3[[#This Row],[DEPENDENCIAS DE NIVEL CENTRAL]],'Comparativo NC'!$B$404:$H$426,3,)</f>
        <v>4</v>
      </c>
      <c r="N31" s="101">
        <f>VLOOKUP(Tabla3[[#This Row],[DEPENDENCIAS DE NIVEL CENTRAL]],'Comparativo NC'!$B$404:$H$426,5,)</f>
        <v>7</v>
      </c>
      <c r="O31" s="161">
        <f>VLOOKUP(Tabla3[[#This Row],[DEPENDENCIAS DE NIVEL CENTRAL]],'Comparativo NC'!$B$404:$H$426,7,)</f>
        <v>7</v>
      </c>
      <c r="Q31" s="102" t="s">
        <v>89</v>
      </c>
      <c r="R31" s="92">
        <v>0</v>
      </c>
      <c r="S31" s="92">
        <v>1</v>
      </c>
      <c r="T31"/>
      <c r="U31"/>
      <c r="W31" s="98" t="str">
        <f t="shared" si="11"/>
        <v>Total general</v>
      </c>
      <c r="X31" s="98" t="e">
        <f>+GETPIVOTDATA("Suma de Vencidas",$Q$29,"DEPENDENCIAS DE NIVEL CENTRAL","OFICINA ASESORA DE COMUNICACIONES ")</f>
        <v>#REF!</v>
      </c>
      <c r="Y31" s="98" t="e">
        <f>+GETPIVOTDATA("Suma de En Terminos",$Q$29,"DEPENDENCIAS DE NIVEL CENTRAL","OFICINA ASESORA DE COMUNICACIONES ")</f>
        <v>#REF!</v>
      </c>
      <c r="AH31"/>
      <c r="AI31" t="s">
        <v>37</v>
      </c>
      <c r="AJ31" s="178">
        <v>0</v>
      </c>
      <c r="AK31" s="178">
        <v>0</v>
      </c>
      <c r="AM31" s="184" t="str">
        <f>+AI31</f>
        <v xml:space="preserve">OFICINA ASESORA DE COMUNICACIONES </v>
      </c>
      <c r="AN31" s="179">
        <f>+AJ31</f>
        <v>0</v>
      </c>
      <c r="AO31" s="179">
        <f>+AK31</f>
        <v>0</v>
      </c>
    </row>
    <row r="32" spans="2:41" x14ac:dyDescent="0.25">
      <c r="B32" s="180" t="s">
        <v>26</v>
      </c>
      <c r="C32" s="101">
        <v>0</v>
      </c>
      <c r="D32" s="101">
        <v>15</v>
      </c>
      <c r="E32" s="120">
        <f t="shared" si="8"/>
        <v>15</v>
      </c>
      <c r="G32" s="99" t="str">
        <f t="shared" si="9"/>
        <v>OFICINA DE ASUNTOS DISCIPLINARIOS</v>
      </c>
      <c r="H32" s="135">
        <f>VLOOKUP(Tabla3[[#This Row],[DEPENDENCIAS DE NIVEL CENTRAL]],$B$29:$E$51,2,)</f>
        <v>0</v>
      </c>
      <c r="I32" s="135">
        <f>VLOOKUP(Tabla3[[#This Row],[DEPENDENCIAS DE NIVEL CENTRAL]],$B$29:$E$51,3,)</f>
        <v>15</v>
      </c>
      <c r="J32" s="135">
        <f t="shared" si="10"/>
        <v>18</v>
      </c>
      <c r="K32" s="135">
        <f>VLOOKUP(Tabla3[[#This Row],[DEPENDENCIAS DE NIVEL CENTRAL]],$B$91:$E$113,2,)</f>
        <v>0</v>
      </c>
      <c r="L32" s="156">
        <f>VLOOKUP(Tabla3[[#This Row],[DEPENDENCIAS DE NIVEL CENTRAL]],$B$91:$E$113,3,)</f>
        <v>0</v>
      </c>
      <c r="M32" s="160">
        <f>VLOOKUP(Tabla3[[#This Row],[DEPENDENCIAS DE NIVEL CENTRAL]],'Comparativo NC'!$B$404:$H$426,3,)</f>
        <v>0</v>
      </c>
      <c r="N32" s="101">
        <f>VLOOKUP(Tabla3[[#This Row],[DEPENDENCIAS DE NIVEL CENTRAL]],'Comparativo NC'!$B$404:$H$426,5,)</f>
        <v>0</v>
      </c>
      <c r="O32" s="161">
        <f>VLOOKUP(Tabla3[[#This Row],[DEPENDENCIAS DE NIVEL CENTRAL]],'Comparativo NC'!$B$404:$H$426,7,)</f>
        <v>0</v>
      </c>
      <c r="Q32"/>
      <c r="R32"/>
      <c r="S32"/>
      <c r="T32"/>
      <c r="U32"/>
      <c r="W32" s="98">
        <f t="shared" si="11"/>
        <v>0</v>
      </c>
      <c r="X32" s="98" t="e">
        <f>+GETPIVOTDATA("Suma de Vencidas",$Q$29,"DEPENDENCIAS DE NIVEL CENTRAL","OFICINA DE ASUNTOS DISCIPLINARIOS")</f>
        <v>#REF!</v>
      </c>
      <c r="Y32" s="98" t="e">
        <f>+GETPIVOTDATA("Suma de En Terminos",$Q$29,"DEPENDENCIAS DE NIVEL CENTRAL","OFICINA DE ASUNTOS DISCIPLINARIOS")</f>
        <v>#REF!</v>
      </c>
      <c r="AH32"/>
      <c r="AI32" t="s">
        <v>26</v>
      </c>
      <c r="AJ32" s="178">
        <v>0</v>
      </c>
      <c r="AK32" s="178">
        <v>0</v>
      </c>
      <c r="AM32" s="184" t="str">
        <f t="shared" ref="AM32:AM50" si="12">+AI32</f>
        <v>OFICINA DE ASUNTOS DISCIPLINARIOS</v>
      </c>
      <c r="AN32" s="179">
        <f t="shared" ref="AN32:AN50" si="13">+AJ32</f>
        <v>0</v>
      </c>
      <c r="AO32" s="179">
        <f t="shared" ref="AO32:AO50" si="14">+AK32</f>
        <v>0</v>
      </c>
    </row>
    <row r="33" spans="2:41" x14ac:dyDescent="0.25">
      <c r="B33" s="180" t="s">
        <v>131</v>
      </c>
      <c r="C33" s="101">
        <v>1</v>
      </c>
      <c r="D33" s="101">
        <v>8</v>
      </c>
      <c r="E33" s="120">
        <f t="shared" si="8"/>
        <v>9</v>
      </c>
      <c r="G33" s="99" t="str">
        <f t="shared" si="9"/>
        <v>DIR. PARA LA GESTION DEL DESARROLLO LOCAL</v>
      </c>
      <c r="H33" s="135">
        <f>VLOOKUP(Tabla3[[#This Row],[DEPENDENCIAS DE NIVEL CENTRAL]],$B$29:$E$51,2,)</f>
        <v>1</v>
      </c>
      <c r="I33" s="135">
        <f>VLOOKUP(Tabla3[[#This Row],[DEPENDENCIAS DE NIVEL CENTRAL]],$B$29:$E$51,3,)</f>
        <v>8</v>
      </c>
      <c r="J33" s="135">
        <f t="shared" si="10"/>
        <v>17</v>
      </c>
      <c r="K33" s="135">
        <f>VLOOKUP(Tabla3[[#This Row],[DEPENDENCIAS DE NIVEL CENTRAL]],$B$91:$E$113,2,)</f>
        <v>1</v>
      </c>
      <c r="L33" s="156">
        <f>VLOOKUP(Tabla3[[#This Row],[DEPENDENCIAS DE NIVEL CENTRAL]],$B$91:$E$113,3,)</f>
        <v>0</v>
      </c>
      <c r="M33" s="160">
        <f>VLOOKUP(Tabla3[[#This Row],[DEPENDENCIAS DE NIVEL CENTRAL]],'Comparativo NC'!$B$404:$H$426,3,)</f>
        <v>1</v>
      </c>
      <c r="N33" s="101">
        <f>VLOOKUP(Tabla3[[#This Row],[DEPENDENCIAS DE NIVEL CENTRAL]],'Comparativo NC'!$B$404:$H$426,5,)</f>
        <v>1</v>
      </c>
      <c r="O33" s="161">
        <f>VLOOKUP(Tabla3[[#This Row],[DEPENDENCIAS DE NIVEL CENTRAL]],'Comparativo NC'!$B$404:$H$426,7,)</f>
        <v>1</v>
      </c>
      <c r="Q33"/>
      <c r="R33"/>
      <c r="S33"/>
      <c r="T33"/>
      <c r="U33"/>
      <c r="W33" s="98">
        <f t="shared" ref="W33:W51" si="15">+Q33</f>
        <v>0</v>
      </c>
      <c r="X33" s="98" t="e">
        <f t="shared" ref="X33:X51" si="16">+GETPIVOTDATA("Suma de Vencidas",$Q$29,"DEPENDENCIAS DE NIVEL CENTRAL","OFICINA DE ASUNTOS DISCIPLINARIOS")</f>
        <v>#REF!</v>
      </c>
      <c r="Y33" s="98" t="e">
        <f t="shared" ref="Y33:Y51" si="17">+GETPIVOTDATA("Suma de En Terminos",$Q$29,"DEPENDENCIAS DE NIVEL CENTRAL","OFICINA DE ASUNTOS DISCIPLINARIOS")</f>
        <v>#REF!</v>
      </c>
      <c r="AA33" s="99" t="s">
        <v>105</v>
      </c>
      <c r="AB33" s="99" t="s">
        <v>102</v>
      </c>
      <c r="AC33" s="99" t="s">
        <v>153</v>
      </c>
      <c r="AD33" s="99" t="s">
        <v>92</v>
      </c>
      <c r="AH33"/>
      <c r="AI33" t="s">
        <v>107</v>
      </c>
      <c r="AJ33" s="178">
        <v>0</v>
      </c>
      <c r="AK33" s="178">
        <v>0</v>
      </c>
      <c r="AM33" s="184" t="str">
        <f t="shared" si="12"/>
        <v>SUBSECRETARIA DE GESTIÓN INSTITUCIONAL</v>
      </c>
      <c r="AN33" s="179">
        <f t="shared" si="13"/>
        <v>0</v>
      </c>
      <c r="AO33" s="179">
        <f t="shared" si="14"/>
        <v>0</v>
      </c>
    </row>
    <row r="34" spans="2:41" x14ac:dyDescent="0.25">
      <c r="B34" s="180" t="s">
        <v>132</v>
      </c>
      <c r="C34" s="101">
        <v>1</v>
      </c>
      <c r="D34" s="101">
        <v>6</v>
      </c>
      <c r="E34" s="120">
        <f t="shared" si="8"/>
        <v>7</v>
      </c>
      <c r="G34" s="99" t="str">
        <f t="shared" si="9"/>
        <v xml:space="preserve">DIR. DE CONVIVENCIA Y DIALOGO SOCIAL </v>
      </c>
      <c r="H34" s="135">
        <f>VLOOKUP(Tabla3[[#This Row],[DEPENDENCIAS DE NIVEL CENTRAL]],$B$29:$E$51,2,)</f>
        <v>1</v>
      </c>
      <c r="I34" s="135">
        <f>VLOOKUP(Tabla3[[#This Row],[DEPENDENCIAS DE NIVEL CENTRAL]],$B$29:$E$51,3,)</f>
        <v>6</v>
      </c>
      <c r="J34" s="135">
        <f t="shared" si="10"/>
        <v>16</v>
      </c>
      <c r="K34" s="135">
        <f>VLOOKUP(Tabla3[[#This Row],[DEPENDENCIAS DE NIVEL CENTRAL]],$B$91:$E$113,2,)</f>
        <v>0</v>
      </c>
      <c r="L34" s="156">
        <f>VLOOKUP(Tabla3[[#This Row],[DEPENDENCIAS DE NIVEL CENTRAL]],$B$91:$E$113,3,)</f>
        <v>1</v>
      </c>
      <c r="M34" s="160">
        <f>VLOOKUP(Tabla3[[#This Row],[DEPENDENCIAS DE NIVEL CENTRAL]],'Comparativo NC'!$B$404:$H$426,3,)</f>
        <v>0</v>
      </c>
      <c r="N34" s="101">
        <f>VLOOKUP(Tabla3[[#This Row],[DEPENDENCIAS DE NIVEL CENTRAL]],'Comparativo NC'!$B$404:$H$426,5,)</f>
        <v>0</v>
      </c>
      <c r="O34" s="161">
        <f>VLOOKUP(Tabla3[[#This Row],[DEPENDENCIAS DE NIVEL CENTRAL]],'Comparativo NC'!$B$404:$H$426,7,)</f>
        <v>1</v>
      </c>
      <c r="Q34"/>
      <c r="R34"/>
      <c r="S34"/>
      <c r="T34"/>
      <c r="U34"/>
      <c r="W34" s="98">
        <f t="shared" si="15"/>
        <v>0</v>
      </c>
      <c r="X34" s="98" t="e">
        <f t="shared" si="16"/>
        <v>#REF!</v>
      </c>
      <c r="Y34" s="98" t="e">
        <f t="shared" si="17"/>
        <v>#REF!</v>
      </c>
      <c r="AA34" s="99" t="str">
        <f>INDEX(W29:Y51,2,1)</f>
        <v>SUBSECRETARIA DE GESTIÓN INSTITUCIONAL</v>
      </c>
      <c r="AB34" s="99">
        <f>VLOOKUP(AA34,Tabla3[#All],5,)</f>
        <v>0</v>
      </c>
      <c r="AC34" s="99">
        <f>VLOOKUP(AA34,Tabla3[#All],6,)</f>
        <v>0</v>
      </c>
      <c r="AD34" s="99">
        <f>VLOOKUP(AA34,Tabla3[#All],2,)</f>
        <v>0</v>
      </c>
      <c r="AH34"/>
      <c r="AI34" t="s">
        <v>106</v>
      </c>
      <c r="AJ34" s="178">
        <v>0</v>
      </c>
      <c r="AK34" s="178">
        <v>0</v>
      </c>
      <c r="AM34" s="184" t="str">
        <f t="shared" si="12"/>
        <v xml:space="preserve">SUBSECRETARIA DE GESTIÓN LOCAL </v>
      </c>
      <c r="AN34" s="179">
        <f t="shared" si="13"/>
        <v>0</v>
      </c>
      <c r="AO34" s="179">
        <f t="shared" si="14"/>
        <v>0</v>
      </c>
    </row>
    <row r="35" spans="2:41" x14ac:dyDescent="0.25">
      <c r="B35" s="180" t="s">
        <v>133</v>
      </c>
      <c r="C35" s="101">
        <v>3</v>
      </c>
      <c r="D35" s="101">
        <v>1</v>
      </c>
      <c r="E35" s="120">
        <f t="shared" si="8"/>
        <v>4</v>
      </c>
      <c r="G35" s="99" t="str">
        <f t="shared" si="9"/>
        <v xml:space="preserve">DIR. DE GESTIÓN DEL TALENTO HUMANO </v>
      </c>
      <c r="H35" s="135">
        <f>VLOOKUP(Tabla3[[#This Row],[DEPENDENCIAS DE NIVEL CENTRAL]],$B$29:$E$51,2,)</f>
        <v>3</v>
      </c>
      <c r="I35" s="135">
        <f>VLOOKUP(Tabla3[[#This Row],[DEPENDENCIAS DE NIVEL CENTRAL]],$B$29:$E$51,3,)</f>
        <v>1</v>
      </c>
      <c r="J35" s="135">
        <f t="shared" si="10"/>
        <v>13</v>
      </c>
      <c r="K35" s="135">
        <f>VLOOKUP(Tabla3[[#This Row],[DEPENDENCIAS DE NIVEL CENTRAL]],$B$91:$E$113,2,)</f>
        <v>2</v>
      </c>
      <c r="L35" s="156">
        <f>VLOOKUP(Tabla3[[#This Row],[DEPENDENCIAS DE NIVEL CENTRAL]],$B$91:$E$113,3,)</f>
        <v>1</v>
      </c>
      <c r="M35" s="160">
        <f>VLOOKUP(Tabla3[[#This Row],[DEPENDENCIAS DE NIVEL CENTRAL]],'Comparativo NC'!$B$404:$H$426,3,)</f>
        <v>3</v>
      </c>
      <c r="N35" s="101">
        <f>VLOOKUP(Tabla3[[#This Row],[DEPENDENCIAS DE NIVEL CENTRAL]],'Comparativo NC'!$B$404:$H$426,5,)</f>
        <v>4</v>
      </c>
      <c r="O35" s="161">
        <f>VLOOKUP(Tabla3[[#This Row],[DEPENDENCIAS DE NIVEL CENTRAL]],'Comparativo NC'!$B$404:$H$426,7,)</f>
        <v>3</v>
      </c>
      <c r="Q35"/>
      <c r="R35"/>
      <c r="S35"/>
      <c r="T35"/>
      <c r="U35"/>
      <c r="W35" s="98">
        <f t="shared" si="15"/>
        <v>0</v>
      </c>
      <c r="X35" s="98" t="e">
        <f t="shared" si="16"/>
        <v>#REF!</v>
      </c>
      <c r="Y35" s="98" t="e">
        <f t="shared" si="17"/>
        <v>#REF!</v>
      </c>
      <c r="AH35"/>
      <c r="AI35" t="s">
        <v>34</v>
      </c>
      <c r="AJ35" s="178">
        <v>0</v>
      </c>
      <c r="AK35" s="178">
        <v>0</v>
      </c>
      <c r="AM35" s="184" t="str">
        <f t="shared" si="12"/>
        <v>SUBSECRETARIA PARA LA GOBERNABILIDAD Y LA GARANTIA DE DERECHOS</v>
      </c>
      <c r="AN35" s="179">
        <f t="shared" si="13"/>
        <v>0</v>
      </c>
      <c r="AO35" s="179">
        <f t="shared" si="14"/>
        <v>0</v>
      </c>
    </row>
    <row r="36" spans="2:41" x14ac:dyDescent="0.25">
      <c r="B36" s="180" t="s">
        <v>30</v>
      </c>
      <c r="C36" s="101">
        <v>0</v>
      </c>
      <c r="D36" s="101">
        <v>3</v>
      </c>
      <c r="E36" s="120">
        <f t="shared" si="8"/>
        <v>3</v>
      </c>
      <c r="G36" s="99" t="str">
        <f t="shared" si="9"/>
        <v xml:space="preserve">DESPACHO DEL SECRETARIO DE GOBIERNO </v>
      </c>
      <c r="H36" s="135">
        <f>VLOOKUP(Tabla3[[#This Row],[DEPENDENCIAS DE NIVEL CENTRAL]],$B$29:$E$51,2,)</f>
        <v>0</v>
      </c>
      <c r="I36" s="135">
        <f>VLOOKUP(Tabla3[[#This Row],[DEPENDENCIAS DE NIVEL CENTRAL]],$B$29:$E$51,3,)</f>
        <v>3</v>
      </c>
      <c r="J36" s="135">
        <f t="shared" si="10"/>
        <v>11</v>
      </c>
      <c r="K36" s="135">
        <f>VLOOKUP(Tabla3[[#This Row],[DEPENDENCIAS DE NIVEL CENTRAL]],$B$91:$E$113,2,)</f>
        <v>0</v>
      </c>
      <c r="L36" s="156">
        <f>VLOOKUP(Tabla3[[#This Row],[DEPENDENCIAS DE NIVEL CENTRAL]],$B$91:$E$113,3,)</f>
        <v>0</v>
      </c>
      <c r="M36" s="160">
        <f>VLOOKUP(Tabla3[[#This Row],[DEPENDENCIAS DE NIVEL CENTRAL]],'Comparativo NC'!$B$404:$H$426,3,)</f>
        <v>0</v>
      </c>
      <c r="N36" s="101">
        <f>VLOOKUP(Tabla3[[#This Row],[DEPENDENCIAS DE NIVEL CENTRAL]],'Comparativo NC'!$B$404:$H$426,5,)</f>
        <v>0</v>
      </c>
      <c r="O36" s="161">
        <f>VLOOKUP(Tabla3[[#This Row],[DEPENDENCIAS DE NIVEL CENTRAL]],'Comparativo NC'!$B$404:$H$426,7,)</f>
        <v>0</v>
      </c>
      <c r="Q36"/>
      <c r="R36"/>
      <c r="S36"/>
      <c r="T36"/>
      <c r="U36"/>
      <c r="W36" s="98">
        <f t="shared" si="15"/>
        <v>0</v>
      </c>
      <c r="X36" s="98" t="e">
        <f t="shared" si="16"/>
        <v>#REF!</v>
      </c>
      <c r="Y36" s="98" t="e">
        <f t="shared" si="17"/>
        <v>#REF!</v>
      </c>
      <c r="AH36"/>
      <c r="AI36" t="s">
        <v>135</v>
      </c>
      <c r="AJ36" s="178">
        <v>0</v>
      </c>
      <c r="AK36" s="178">
        <v>0</v>
      </c>
      <c r="AM36" s="184" t="str">
        <f t="shared" si="12"/>
        <v>DIR. JURIDICA</v>
      </c>
      <c r="AN36" s="179">
        <f t="shared" si="13"/>
        <v>0</v>
      </c>
      <c r="AO36" s="179">
        <f t="shared" si="14"/>
        <v>0</v>
      </c>
    </row>
    <row r="37" spans="2:41" x14ac:dyDescent="0.25">
      <c r="B37" s="180" t="s">
        <v>106</v>
      </c>
      <c r="C37" s="101">
        <v>0</v>
      </c>
      <c r="D37" s="101">
        <v>3</v>
      </c>
      <c r="E37" s="120">
        <f t="shared" si="8"/>
        <v>3</v>
      </c>
      <c r="G37" s="99" t="str">
        <f t="shared" si="9"/>
        <v xml:space="preserve">SUBSECRETARIA DE GESTIÓN LOCAL </v>
      </c>
      <c r="H37" s="135">
        <f>VLOOKUP(Tabla3[[#This Row],[DEPENDENCIAS DE NIVEL CENTRAL]],$B$29:$E$51,2,)</f>
        <v>0</v>
      </c>
      <c r="I37" s="135">
        <f>VLOOKUP(Tabla3[[#This Row],[DEPENDENCIAS DE NIVEL CENTRAL]],$B$29:$E$51,3,)</f>
        <v>3</v>
      </c>
      <c r="J37" s="135">
        <f t="shared" si="10"/>
        <v>9</v>
      </c>
      <c r="K37" s="135">
        <f>VLOOKUP(Tabla3[[#This Row],[DEPENDENCIAS DE NIVEL CENTRAL]],$B$91:$E$113,2,)</f>
        <v>0</v>
      </c>
      <c r="L37" s="156">
        <f>VLOOKUP(Tabla3[[#This Row],[DEPENDENCIAS DE NIVEL CENTRAL]],$B$91:$E$113,3,)</f>
        <v>0</v>
      </c>
      <c r="M37" s="160">
        <f>VLOOKUP(Tabla3[[#This Row],[DEPENDENCIAS DE NIVEL CENTRAL]],'Comparativo NC'!$B$404:$H$426,3,)</f>
        <v>0</v>
      </c>
      <c r="N37" s="101">
        <f>VLOOKUP(Tabla3[[#This Row],[DEPENDENCIAS DE NIVEL CENTRAL]],'Comparativo NC'!$B$404:$H$426,5,)</f>
        <v>0</v>
      </c>
      <c r="O37" s="161">
        <f>VLOOKUP(Tabla3[[#This Row],[DEPENDENCIAS DE NIVEL CENTRAL]],'Comparativo NC'!$B$404:$H$426,7,)</f>
        <v>0</v>
      </c>
      <c r="Q37"/>
      <c r="R37"/>
      <c r="S37"/>
      <c r="T37"/>
      <c r="U37"/>
      <c r="W37" s="98">
        <f t="shared" si="15"/>
        <v>0</v>
      </c>
      <c r="X37" s="98" t="e">
        <f t="shared" si="16"/>
        <v>#REF!</v>
      </c>
      <c r="Y37" s="98" t="e">
        <f t="shared" si="17"/>
        <v>#REF!</v>
      </c>
      <c r="AA37" s="99" t="s">
        <v>105</v>
      </c>
      <c r="AB37" s="165" t="str">
        <f>Tabla3[[#Headers],[PQRS Vencidas y Extemporáneas a 19/05/2022]]</f>
        <v>PQRS Vencidas y Extemporáneas a 19/05/2022</v>
      </c>
      <c r="AC37" s="165" t="str">
        <f>Tabla3[[#Headers],[PQRS Vencidas y Extemporáneas a 26/05/2023]]</f>
        <v>PQRS Vencidas y Extemporáneas a 26/05/2023</v>
      </c>
      <c r="AD37" s="165" t="str">
        <f>Tabla3[[#Headers],[PQRS Vencidas y Extemporáneas a 02/06/2023]]</f>
        <v>PQRS Vencidas y Extemporáneas a 02/06/2023</v>
      </c>
      <c r="AH37"/>
      <c r="AI37" t="s">
        <v>136</v>
      </c>
      <c r="AJ37" s="178">
        <v>0</v>
      </c>
      <c r="AK37" s="178">
        <v>0</v>
      </c>
      <c r="AM37" s="184" t="str">
        <f t="shared" si="12"/>
        <v>DIR. DE ASUNTOS ETNICOS</v>
      </c>
      <c r="AN37" s="179">
        <f t="shared" si="13"/>
        <v>0</v>
      </c>
      <c r="AO37" s="179">
        <f t="shared" si="14"/>
        <v>0</v>
      </c>
    </row>
    <row r="38" spans="2:41" x14ac:dyDescent="0.25">
      <c r="B38" s="180" t="s">
        <v>134</v>
      </c>
      <c r="C38" s="101">
        <v>0</v>
      </c>
      <c r="D38" s="101">
        <v>3</v>
      </c>
      <c r="E38" s="120">
        <f t="shared" si="8"/>
        <v>3</v>
      </c>
      <c r="G38" s="99" t="str">
        <f t="shared" si="9"/>
        <v>DIR. ADMINISTRATIVA</v>
      </c>
      <c r="H38" s="135">
        <f>VLOOKUP(Tabla3[[#This Row],[DEPENDENCIAS DE NIVEL CENTRAL]],$B$29:$E$51,2,)</f>
        <v>0</v>
      </c>
      <c r="I38" s="135">
        <f>VLOOKUP(Tabla3[[#This Row],[DEPENDENCIAS DE NIVEL CENTRAL]],$B$29:$E$51,3,)</f>
        <v>3</v>
      </c>
      <c r="J38" s="135">
        <f t="shared" si="10"/>
        <v>9</v>
      </c>
      <c r="K38" s="135">
        <f>VLOOKUP(Tabla3[[#This Row],[DEPENDENCIAS DE NIVEL CENTRAL]],$B$91:$E$113,2,)</f>
        <v>0</v>
      </c>
      <c r="L38" s="156">
        <f>VLOOKUP(Tabla3[[#This Row],[DEPENDENCIAS DE NIVEL CENTRAL]],$B$91:$E$113,3,)</f>
        <v>0</v>
      </c>
      <c r="M38" s="160">
        <f>VLOOKUP(Tabla3[[#This Row],[DEPENDENCIAS DE NIVEL CENTRAL]],'Comparativo NC'!$B$404:$H$426,3,)</f>
        <v>0</v>
      </c>
      <c r="N38" s="101">
        <f>VLOOKUP(Tabla3[[#This Row],[DEPENDENCIAS DE NIVEL CENTRAL]],'Comparativo NC'!$B$404:$H$426,5,)</f>
        <v>0</v>
      </c>
      <c r="O38" s="161">
        <f>VLOOKUP(Tabla3[[#This Row],[DEPENDENCIAS DE NIVEL CENTRAL]],'Comparativo NC'!$B$404:$H$426,7,)</f>
        <v>0</v>
      </c>
      <c r="Q38"/>
      <c r="R38"/>
      <c r="S38"/>
      <c r="T38"/>
      <c r="U38"/>
      <c r="W38" s="98">
        <f t="shared" si="15"/>
        <v>0</v>
      </c>
      <c r="X38" s="98" t="e">
        <f t="shared" si="16"/>
        <v>#REF!</v>
      </c>
      <c r="Y38" s="98" t="e">
        <f t="shared" si="17"/>
        <v>#REF!</v>
      </c>
      <c r="AA38" s="99" t="str">
        <f>INDEX(W29:Y51,2,1)</f>
        <v>SUBSECRETARIA DE GESTIÓN INSTITUCIONAL</v>
      </c>
      <c r="AB38" s="99">
        <f>VLOOKUP(AA38,Tabla3[#All],7,)</f>
        <v>0</v>
      </c>
      <c r="AC38" s="99">
        <f>VLOOKUP(AA38,Tabla3[#All],8,)</f>
        <v>0</v>
      </c>
      <c r="AD38" s="99">
        <f>VLOOKUP(AA38,Tabla3[#All],9,)</f>
        <v>0</v>
      </c>
      <c r="AH38"/>
      <c r="AI38" t="s">
        <v>143</v>
      </c>
      <c r="AJ38" s="178">
        <v>0</v>
      </c>
      <c r="AK38" s="178">
        <v>0</v>
      </c>
      <c r="AM38" s="184" t="str">
        <f t="shared" si="12"/>
        <v>SUBDIR. DE ASUNTOS INDIGENAS Y RROM</v>
      </c>
      <c r="AN38" s="179">
        <f t="shared" si="13"/>
        <v>0</v>
      </c>
      <c r="AO38" s="179">
        <f t="shared" si="14"/>
        <v>0</v>
      </c>
    </row>
    <row r="39" spans="2:41" x14ac:dyDescent="0.25">
      <c r="B39" s="181" t="s">
        <v>135</v>
      </c>
      <c r="C39" s="101">
        <v>0</v>
      </c>
      <c r="D39" s="101">
        <v>2</v>
      </c>
      <c r="E39" s="120">
        <f t="shared" si="8"/>
        <v>2</v>
      </c>
      <c r="G39" s="99" t="str">
        <f>+B39</f>
        <v>DIR. JURIDICA</v>
      </c>
      <c r="H39" s="101">
        <f>VLOOKUP(Tabla3[[#This Row],[DEPENDENCIAS DE NIVEL CENTRAL]],$B$29:$E$51,2,)</f>
        <v>0</v>
      </c>
      <c r="I39" s="101">
        <f>VLOOKUP(Tabla3[[#This Row],[DEPENDENCIAS DE NIVEL CENTRAL]],$B$29:$E$51,3,)</f>
        <v>2</v>
      </c>
      <c r="J39" s="101">
        <f t="shared" si="10"/>
        <v>8</v>
      </c>
      <c r="K39" s="135">
        <f>VLOOKUP(Tabla3[[#This Row],[DEPENDENCIAS DE NIVEL CENTRAL]],$B$91:$E$113,2,)</f>
        <v>0</v>
      </c>
      <c r="L39" s="156">
        <f>VLOOKUP(Tabla3[[#This Row],[DEPENDENCIAS DE NIVEL CENTRAL]],$B$91:$E$113,3,)</f>
        <v>0</v>
      </c>
      <c r="M39" s="160">
        <f>VLOOKUP(Tabla3[[#This Row],[DEPENDENCIAS DE NIVEL CENTRAL]],'Comparativo NC'!$B$404:$H$426,3,)</f>
        <v>4</v>
      </c>
      <c r="N39" s="101">
        <f>VLOOKUP(Tabla3[[#This Row],[DEPENDENCIAS DE NIVEL CENTRAL]],'Comparativo NC'!$B$404:$H$426,5,)</f>
        <v>3</v>
      </c>
      <c r="O39" s="161">
        <f>VLOOKUP(Tabla3[[#This Row],[DEPENDENCIAS DE NIVEL CENTRAL]],'Comparativo NC'!$B$404:$H$426,7,)</f>
        <v>0</v>
      </c>
      <c r="Q39"/>
      <c r="R39"/>
      <c r="S39"/>
      <c r="T39"/>
      <c r="U39"/>
      <c r="W39" s="98">
        <f t="shared" si="15"/>
        <v>0</v>
      </c>
      <c r="X39" s="98" t="e">
        <f t="shared" si="16"/>
        <v>#REF!</v>
      </c>
      <c r="Y39" s="98" t="e">
        <f t="shared" si="17"/>
        <v>#REF!</v>
      </c>
      <c r="AH39"/>
      <c r="AI39" t="s">
        <v>137</v>
      </c>
      <c r="AJ39" s="178">
        <v>0</v>
      </c>
      <c r="AK39" s="178">
        <v>0</v>
      </c>
      <c r="AM39" s="184" t="str">
        <f t="shared" si="12"/>
        <v>DIR. DE CONTRATACIÓN</v>
      </c>
      <c r="AN39" s="179">
        <f t="shared" si="13"/>
        <v>0</v>
      </c>
      <c r="AO39" s="179">
        <f t="shared" si="14"/>
        <v>0</v>
      </c>
    </row>
    <row r="40" spans="2:41" x14ac:dyDescent="0.25">
      <c r="B40" s="181" t="s">
        <v>143</v>
      </c>
      <c r="C40" s="101">
        <v>0</v>
      </c>
      <c r="D40" s="101">
        <v>2</v>
      </c>
      <c r="E40" s="120">
        <f t="shared" si="8"/>
        <v>2</v>
      </c>
      <c r="G40" s="99" t="str">
        <f t="shared" si="9"/>
        <v>SUBDIR. DE ASUNTOS INDIGENAS Y RROM</v>
      </c>
      <c r="H40" s="135">
        <f>VLOOKUP(Tabla3[[#This Row],[DEPENDENCIAS DE NIVEL CENTRAL]],$B$29:$E$51,2,)</f>
        <v>0</v>
      </c>
      <c r="I40" s="135">
        <f>VLOOKUP(Tabla3[[#This Row],[DEPENDENCIAS DE NIVEL CENTRAL]],$B$29:$E$51,3,)</f>
        <v>2</v>
      </c>
      <c r="J40" s="135">
        <f>+E74</f>
        <v>8</v>
      </c>
      <c r="K40" s="135">
        <f>VLOOKUP(Tabla3[[#This Row],[DEPENDENCIAS DE NIVEL CENTRAL]],$B$91:$E$113,2,)</f>
        <v>0</v>
      </c>
      <c r="L40" s="156">
        <f>VLOOKUP(Tabla3[[#This Row],[DEPENDENCIAS DE NIVEL CENTRAL]],$B$91:$E$113,3,)</f>
        <v>0</v>
      </c>
      <c r="M40" s="160">
        <f>VLOOKUP(Tabla3[[#This Row],[DEPENDENCIAS DE NIVEL CENTRAL]],'Comparativo NC'!$B$404:$H$426,3,)</f>
        <v>1</v>
      </c>
      <c r="N40" s="101">
        <f>VLOOKUP(Tabla3[[#This Row],[DEPENDENCIAS DE NIVEL CENTRAL]],'Comparativo NC'!$B$404:$H$426,5,)</f>
        <v>1</v>
      </c>
      <c r="O40" s="161">
        <f>VLOOKUP(Tabla3[[#This Row],[DEPENDENCIAS DE NIVEL CENTRAL]],'Comparativo NC'!$B$404:$H$426,7,)</f>
        <v>0</v>
      </c>
      <c r="Q40"/>
      <c r="R40"/>
      <c r="S40"/>
      <c r="T40"/>
      <c r="U40"/>
      <c r="W40" s="98">
        <f t="shared" si="15"/>
        <v>0</v>
      </c>
      <c r="X40" s="98" t="e">
        <f t="shared" si="16"/>
        <v>#REF!</v>
      </c>
      <c r="Y40" s="98" t="e">
        <f t="shared" si="17"/>
        <v>#REF!</v>
      </c>
      <c r="AH40"/>
      <c r="AI40" t="s">
        <v>138</v>
      </c>
      <c r="AJ40" s="178">
        <v>0</v>
      </c>
      <c r="AK40" s="178">
        <v>0</v>
      </c>
      <c r="AM40" s="184" t="str">
        <f t="shared" si="12"/>
        <v>DIR. PARA LA GESTIÓN ADMINISTRATIVA ESPECIAL DE POLICIA</v>
      </c>
      <c r="AN40" s="179">
        <f t="shared" si="13"/>
        <v>0</v>
      </c>
      <c r="AO40" s="179">
        <f t="shared" si="14"/>
        <v>0</v>
      </c>
    </row>
    <row r="41" spans="2:41" x14ac:dyDescent="0.25">
      <c r="B41" s="180" t="s">
        <v>107</v>
      </c>
      <c r="C41" s="101">
        <v>0</v>
      </c>
      <c r="D41" s="101">
        <v>1</v>
      </c>
      <c r="E41" s="120">
        <f t="shared" si="8"/>
        <v>1</v>
      </c>
      <c r="G41" s="99" t="str">
        <f t="shared" si="9"/>
        <v>SUBSECRETARIA DE GESTIÓN INSTITUCIONAL</v>
      </c>
      <c r="H41" s="135">
        <f>VLOOKUP(Tabla3[[#This Row],[DEPENDENCIAS DE NIVEL CENTRAL]],$B$29:$E$51,2,)</f>
        <v>0</v>
      </c>
      <c r="I41" s="135">
        <f>VLOOKUP(Tabla3[[#This Row],[DEPENDENCIAS DE NIVEL CENTRAL]],$B$29:$E$51,3,)</f>
        <v>1</v>
      </c>
      <c r="J41" s="135">
        <f>+E75</f>
        <v>8</v>
      </c>
      <c r="K41" s="135">
        <f>VLOOKUP(Tabla3[[#This Row],[DEPENDENCIAS DE NIVEL CENTRAL]],$B$91:$E$113,2,)</f>
        <v>0</v>
      </c>
      <c r="L41" s="156">
        <f>VLOOKUP(Tabla3[[#This Row],[DEPENDENCIAS DE NIVEL CENTRAL]],$B$91:$E$113,3,)</f>
        <v>0</v>
      </c>
      <c r="M41" s="160">
        <f>VLOOKUP(Tabla3[[#This Row],[DEPENDENCIAS DE NIVEL CENTRAL]],'Comparativo NC'!$B$404:$H$426,3,)</f>
        <v>0</v>
      </c>
      <c r="N41" s="101">
        <f>VLOOKUP(Tabla3[[#This Row],[DEPENDENCIAS DE NIVEL CENTRAL]],'Comparativo NC'!$B$404:$H$426,5,)</f>
        <v>0</v>
      </c>
      <c r="O41" s="161">
        <f>VLOOKUP(Tabla3[[#This Row],[DEPENDENCIAS DE NIVEL CENTRAL]],'Comparativo NC'!$B$404:$H$426,7,)</f>
        <v>0</v>
      </c>
      <c r="Q41"/>
      <c r="R41"/>
      <c r="S41"/>
      <c r="T41"/>
      <c r="U41"/>
      <c r="W41" s="98">
        <f t="shared" si="15"/>
        <v>0</v>
      </c>
      <c r="X41" s="98" t="e">
        <f t="shared" si="16"/>
        <v>#REF!</v>
      </c>
      <c r="Y41" s="98" t="e">
        <f t="shared" si="17"/>
        <v>#REF!</v>
      </c>
      <c r="AH41"/>
      <c r="AI41" t="s">
        <v>139</v>
      </c>
      <c r="AJ41" s="178">
        <v>0</v>
      </c>
      <c r="AK41" s="178">
        <v>0</v>
      </c>
      <c r="AM41" s="184" t="str">
        <f t="shared" si="12"/>
        <v xml:space="preserve">DIR. FINANCIERA </v>
      </c>
      <c r="AN41" s="179">
        <f t="shared" si="13"/>
        <v>0</v>
      </c>
      <c r="AO41" s="179">
        <f t="shared" si="14"/>
        <v>0</v>
      </c>
    </row>
    <row r="42" spans="2:41" x14ac:dyDescent="0.25">
      <c r="B42" s="180" t="s">
        <v>144</v>
      </c>
      <c r="C42" s="101">
        <v>1</v>
      </c>
      <c r="D42" s="101">
        <v>0</v>
      </c>
      <c r="E42" s="120">
        <f t="shared" si="8"/>
        <v>1</v>
      </c>
      <c r="G42" s="99" t="str">
        <f t="shared" si="9"/>
        <v>SUBDIR. DE ASUNTOS PARA COMUNIDADES NEGRAS, AFROCOLOMBIANAS, RAIZALES Y PALENQUERAS</v>
      </c>
      <c r="H42" s="135">
        <f>VLOOKUP(Tabla3[[#This Row],[DEPENDENCIAS DE NIVEL CENTRAL]],$B$29:$E$51,2,)</f>
        <v>1</v>
      </c>
      <c r="I42" s="135">
        <f>VLOOKUP(Tabla3[[#This Row],[DEPENDENCIAS DE NIVEL CENTRAL]],$B$29:$E$51,3,)</f>
        <v>0</v>
      </c>
      <c r="J42" s="135">
        <f>+E76</f>
        <v>5</v>
      </c>
      <c r="K42" s="135">
        <f>VLOOKUP(Tabla3[[#This Row],[DEPENDENCIAS DE NIVEL CENTRAL]],$B$91:$E$113,2,)</f>
        <v>1</v>
      </c>
      <c r="L42" s="156">
        <f>VLOOKUP(Tabla3[[#This Row],[DEPENDENCIAS DE NIVEL CENTRAL]],$B$91:$E$113,3,)</f>
        <v>0</v>
      </c>
      <c r="M42" s="160">
        <f>VLOOKUP(Tabla3[[#This Row],[DEPENDENCIAS DE NIVEL CENTRAL]],'Comparativo NC'!$B$404:$H$426,3,)</f>
        <v>0</v>
      </c>
      <c r="N42" s="101">
        <f>VLOOKUP(Tabla3[[#This Row],[DEPENDENCIAS DE NIVEL CENTRAL]],'Comparativo NC'!$B$404:$H$426,5,)</f>
        <v>0</v>
      </c>
      <c r="O42" s="161">
        <f>VLOOKUP(Tabla3[[#This Row],[DEPENDENCIAS DE NIVEL CENTRAL]],'Comparativo NC'!$B$404:$H$426,7,)</f>
        <v>1</v>
      </c>
      <c r="Q42"/>
      <c r="R42"/>
      <c r="S42"/>
      <c r="T42"/>
      <c r="U42"/>
      <c r="W42" s="98">
        <f t="shared" si="15"/>
        <v>0</v>
      </c>
      <c r="X42" s="98" t="e">
        <f t="shared" si="16"/>
        <v>#REF!</v>
      </c>
      <c r="Y42" s="98" t="e">
        <f t="shared" si="17"/>
        <v>#REF!</v>
      </c>
      <c r="AH42"/>
      <c r="AI42" t="s">
        <v>140</v>
      </c>
      <c r="AJ42" s="178">
        <v>0</v>
      </c>
      <c r="AK42" s="178">
        <v>0</v>
      </c>
      <c r="AM42" s="184" t="str">
        <f t="shared" si="12"/>
        <v>DIR. DE TECNOLOGIAS E INFORMACIÓN</v>
      </c>
      <c r="AN42" s="179">
        <f t="shared" si="13"/>
        <v>0</v>
      </c>
      <c r="AO42" s="179">
        <f t="shared" si="14"/>
        <v>0</v>
      </c>
    </row>
    <row r="43" spans="2:41" x14ac:dyDescent="0.25">
      <c r="B43" s="180" t="s">
        <v>34</v>
      </c>
      <c r="C43" s="101">
        <v>0</v>
      </c>
      <c r="D43" s="101">
        <v>1</v>
      </c>
      <c r="E43" s="120">
        <f t="shared" si="8"/>
        <v>1</v>
      </c>
      <c r="G43" s="99" t="str">
        <f>+B43</f>
        <v>SUBSECRETARIA PARA LA GOBERNABILIDAD Y LA GARANTIA DE DERECHOS</v>
      </c>
      <c r="H43" s="101">
        <f>VLOOKUP(Tabla3[[#This Row],[DEPENDENCIAS DE NIVEL CENTRAL]],$B$29:$E$51,2,)</f>
        <v>0</v>
      </c>
      <c r="I43" s="101">
        <f>VLOOKUP(Tabla3[[#This Row],[DEPENDENCIAS DE NIVEL CENTRAL]],$B$29:$E$51,3,)</f>
        <v>1</v>
      </c>
      <c r="J43" s="101">
        <f>+E78</f>
        <v>3</v>
      </c>
      <c r="K43" s="135">
        <f>VLOOKUP(Tabla3[[#This Row],[DEPENDENCIAS DE NIVEL CENTRAL]],$B$91:$E$113,2,)</f>
        <v>0</v>
      </c>
      <c r="L43" s="156">
        <f>VLOOKUP(Tabla3[[#This Row],[DEPENDENCIAS DE NIVEL CENTRAL]],$B$91:$E$113,3,)</f>
        <v>0</v>
      </c>
      <c r="M43" s="160">
        <f>VLOOKUP(Tabla3[[#This Row],[DEPENDENCIAS DE NIVEL CENTRAL]],'Comparativo NC'!$B$404:$H$426,3,)</f>
        <v>0</v>
      </c>
      <c r="N43" s="101">
        <f>VLOOKUP(Tabla3[[#This Row],[DEPENDENCIAS DE NIVEL CENTRAL]],'Comparativo NC'!$B$404:$H$426,5,)</f>
        <v>0</v>
      </c>
      <c r="O43" s="161">
        <f>VLOOKUP(Tabla3[[#This Row],[DEPENDENCIAS DE NIVEL CENTRAL]],'Comparativo NC'!$B$404:$H$426,7,)</f>
        <v>0</v>
      </c>
      <c r="Q43"/>
      <c r="R43"/>
      <c r="S43"/>
      <c r="T43"/>
      <c r="U43"/>
      <c r="W43" s="98">
        <f t="shared" si="15"/>
        <v>0</v>
      </c>
      <c r="X43" s="98" t="e">
        <f t="shared" si="16"/>
        <v>#REF!</v>
      </c>
      <c r="Y43" s="98" t="e">
        <f t="shared" si="17"/>
        <v>#REF!</v>
      </c>
      <c r="AH43"/>
      <c r="AI43" t="s">
        <v>141</v>
      </c>
      <c r="AJ43" s="178">
        <v>0</v>
      </c>
      <c r="AK43" s="178">
        <v>0</v>
      </c>
      <c r="AM43" s="184" t="str">
        <f t="shared" si="12"/>
        <v>DIR. DE RELACIONES POLITICAS</v>
      </c>
      <c r="AN43" s="179">
        <f t="shared" si="13"/>
        <v>0</v>
      </c>
      <c r="AO43" s="179">
        <f t="shared" si="14"/>
        <v>0</v>
      </c>
    </row>
    <row r="44" spans="2:41" x14ac:dyDescent="0.25">
      <c r="B44" s="180" t="s">
        <v>136</v>
      </c>
      <c r="C44" s="101">
        <v>0</v>
      </c>
      <c r="D44" s="101">
        <v>0</v>
      </c>
      <c r="E44" s="120">
        <f t="shared" si="8"/>
        <v>0</v>
      </c>
      <c r="G44" s="99" t="str">
        <f t="shared" si="9"/>
        <v>DIR. DE ASUNTOS ETNICOS</v>
      </c>
      <c r="H44" s="135">
        <f>VLOOKUP(Tabla3[[#This Row],[DEPENDENCIAS DE NIVEL CENTRAL]],$B$29:$E$51,2,)</f>
        <v>0</v>
      </c>
      <c r="I44" s="135">
        <f>VLOOKUP(Tabla3[[#This Row],[DEPENDENCIAS DE NIVEL CENTRAL]],$B$29:$E$51,3,)</f>
        <v>0</v>
      </c>
      <c r="J44" s="135">
        <f t="shared" ref="J44:J51" si="18">+E77</f>
        <v>4</v>
      </c>
      <c r="K44" s="135">
        <f>VLOOKUP(Tabla3[[#This Row],[DEPENDENCIAS DE NIVEL CENTRAL]],$B$91:$E$113,2,)</f>
        <v>0</v>
      </c>
      <c r="L44" s="156">
        <f>VLOOKUP(Tabla3[[#This Row],[DEPENDENCIAS DE NIVEL CENTRAL]],$B$91:$E$113,3,)</f>
        <v>0</v>
      </c>
      <c r="M44" s="160">
        <f>VLOOKUP(Tabla3[[#This Row],[DEPENDENCIAS DE NIVEL CENTRAL]],'Comparativo NC'!$B$404:$H$426,3,)</f>
        <v>0</v>
      </c>
      <c r="N44" s="101">
        <f>VLOOKUP(Tabla3[[#This Row],[DEPENDENCIAS DE NIVEL CENTRAL]],'Comparativo NC'!$B$404:$H$426,5,)</f>
        <v>0</v>
      </c>
      <c r="O44" s="161">
        <f>VLOOKUP(Tabla3[[#This Row],[DEPENDENCIAS DE NIVEL CENTRAL]],'Comparativo NC'!$B$404:$H$426,7,)</f>
        <v>0</v>
      </c>
      <c r="Q44"/>
      <c r="R44"/>
      <c r="S44"/>
      <c r="T44"/>
      <c r="U44"/>
      <c r="W44" s="98">
        <f t="shared" si="15"/>
        <v>0</v>
      </c>
      <c r="X44" s="98" t="e">
        <f t="shared" si="16"/>
        <v>#REF!</v>
      </c>
      <c r="Y44" s="98" t="e">
        <f t="shared" si="17"/>
        <v>#REF!</v>
      </c>
      <c r="AH44"/>
      <c r="AI44" t="s">
        <v>142</v>
      </c>
      <c r="AJ44" s="178">
        <v>0</v>
      </c>
      <c r="AK44" s="178">
        <v>0</v>
      </c>
      <c r="AM44" s="184" t="str">
        <f t="shared" si="12"/>
        <v>SUBDIR. DE ASUNTOS DE LIBERTAD RELIGIOSA Y DE CONCIENCIA</v>
      </c>
      <c r="AN44" s="179">
        <f t="shared" si="13"/>
        <v>0</v>
      </c>
      <c r="AO44" s="179">
        <f t="shared" si="14"/>
        <v>0</v>
      </c>
    </row>
    <row r="45" spans="2:41" x14ac:dyDescent="0.25">
      <c r="B45" s="180" t="s">
        <v>137</v>
      </c>
      <c r="C45" s="101">
        <v>0</v>
      </c>
      <c r="D45" s="101">
        <v>0</v>
      </c>
      <c r="E45" s="120">
        <f t="shared" si="8"/>
        <v>0</v>
      </c>
      <c r="G45" s="99" t="str">
        <f t="shared" si="9"/>
        <v>DIR. DE CONTRATACIÓN</v>
      </c>
      <c r="H45" s="135">
        <f>VLOOKUP(Tabla3[[#This Row],[DEPENDENCIAS DE NIVEL CENTRAL]],$B$29:$E$51,2,)</f>
        <v>0</v>
      </c>
      <c r="I45" s="135">
        <f>VLOOKUP(Tabla3[[#This Row],[DEPENDENCIAS DE NIVEL CENTRAL]],$B$29:$E$51,3,)</f>
        <v>0</v>
      </c>
      <c r="J45" s="135">
        <f t="shared" si="18"/>
        <v>3</v>
      </c>
      <c r="K45" s="135">
        <f>VLOOKUP(Tabla3[[#This Row],[DEPENDENCIAS DE NIVEL CENTRAL]],$B$91:$E$113,2,)</f>
        <v>0</v>
      </c>
      <c r="L45" s="156">
        <f>VLOOKUP(Tabla3[[#This Row],[DEPENDENCIAS DE NIVEL CENTRAL]],$B$91:$E$113,3,)</f>
        <v>0</v>
      </c>
      <c r="M45" s="160">
        <f>VLOOKUP(Tabla3[[#This Row],[DEPENDENCIAS DE NIVEL CENTRAL]],'Comparativo NC'!$B$404:$H$426,3,)</f>
        <v>0</v>
      </c>
      <c r="N45" s="101">
        <f>VLOOKUP(Tabla3[[#This Row],[DEPENDENCIAS DE NIVEL CENTRAL]],'Comparativo NC'!$B$404:$H$426,5,)</f>
        <v>1</v>
      </c>
      <c r="O45" s="161">
        <f>VLOOKUP(Tabla3[[#This Row],[DEPENDENCIAS DE NIVEL CENTRAL]],'Comparativo NC'!$B$404:$H$426,7,)</f>
        <v>0</v>
      </c>
      <c r="Q45"/>
      <c r="R45"/>
      <c r="S45"/>
      <c r="T45"/>
      <c r="U45"/>
      <c r="W45" s="98">
        <f t="shared" si="15"/>
        <v>0</v>
      </c>
      <c r="X45" s="98" t="e">
        <f t="shared" si="16"/>
        <v>#REF!</v>
      </c>
      <c r="Y45" s="98" t="e">
        <f t="shared" si="17"/>
        <v>#REF!</v>
      </c>
      <c r="AH45"/>
      <c r="AI45" t="s">
        <v>134</v>
      </c>
      <c r="AJ45" s="178">
        <v>0</v>
      </c>
      <c r="AK45" s="178">
        <v>0</v>
      </c>
      <c r="AM45" s="184" t="str">
        <f t="shared" si="12"/>
        <v>DIR. ADMINISTRATIVA</v>
      </c>
      <c r="AN45" s="179">
        <f t="shared" si="13"/>
        <v>0</v>
      </c>
      <c r="AO45" s="179">
        <f t="shared" si="14"/>
        <v>0</v>
      </c>
    </row>
    <row r="46" spans="2:41" x14ac:dyDescent="0.25">
      <c r="B46" s="180" t="s">
        <v>138</v>
      </c>
      <c r="C46" s="101">
        <v>0</v>
      </c>
      <c r="D46" s="101">
        <v>0</v>
      </c>
      <c r="E46" s="120">
        <f t="shared" si="8"/>
        <v>0</v>
      </c>
      <c r="G46" s="99" t="str">
        <f t="shared" si="9"/>
        <v>DIR. PARA LA GESTIÓN ADMINISTRATIVA ESPECIAL DE POLICIA</v>
      </c>
      <c r="H46" s="135">
        <f>VLOOKUP(Tabla3[[#This Row],[DEPENDENCIAS DE NIVEL CENTRAL]],$B$29:$E$51,2,)</f>
        <v>0</v>
      </c>
      <c r="I46" s="135">
        <f>VLOOKUP(Tabla3[[#This Row],[DEPENDENCIAS DE NIVEL CENTRAL]],$B$29:$E$51,3,)</f>
        <v>0</v>
      </c>
      <c r="J46" s="135">
        <f t="shared" si="18"/>
        <v>2</v>
      </c>
      <c r="K46" s="135">
        <f>VLOOKUP(Tabla3[[#This Row],[DEPENDENCIAS DE NIVEL CENTRAL]],$B$91:$E$113,2,)</f>
        <v>0</v>
      </c>
      <c r="L46" s="156">
        <f>VLOOKUP(Tabla3[[#This Row],[DEPENDENCIAS DE NIVEL CENTRAL]],$B$91:$E$113,3,)</f>
        <v>0</v>
      </c>
      <c r="M46" s="160">
        <f>VLOOKUP(Tabla3[[#This Row],[DEPENDENCIAS DE NIVEL CENTRAL]],'Comparativo NC'!$B$404:$H$426,3,)</f>
        <v>0</v>
      </c>
      <c r="N46" s="101">
        <f>VLOOKUP(Tabla3[[#This Row],[DEPENDENCIAS DE NIVEL CENTRAL]],'Comparativo NC'!$B$404:$H$426,5,)</f>
        <v>0</v>
      </c>
      <c r="O46" s="161">
        <f>VLOOKUP(Tabla3[[#This Row],[DEPENDENCIAS DE NIVEL CENTRAL]],'Comparativo NC'!$B$404:$H$426,7,)</f>
        <v>0</v>
      </c>
      <c r="Q46"/>
      <c r="R46"/>
      <c r="S46"/>
      <c r="T46"/>
      <c r="U46"/>
      <c r="W46" s="98">
        <f t="shared" si="15"/>
        <v>0</v>
      </c>
      <c r="X46" s="98" t="e">
        <f t="shared" si="16"/>
        <v>#REF!</v>
      </c>
      <c r="Y46" s="98" t="e">
        <f t="shared" si="17"/>
        <v>#REF!</v>
      </c>
      <c r="AH46" s="178">
        <v>1</v>
      </c>
      <c r="AI46" t="s">
        <v>132</v>
      </c>
      <c r="AJ46" s="178">
        <v>0</v>
      </c>
      <c r="AK46" s="178">
        <v>1</v>
      </c>
      <c r="AM46" s="184" t="str">
        <f t="shared" si="12"/>
        <v xml:space="preserve">DIR. DE CONVIVENCIA Y DIALOGO SOCIAL </v>
      </c>
      <c r="AN46" s="179">
        <f t="shared" si="13"/>
        <v>0</v>
      </c>
      <c r="AO46" s="179">
        <f t="shared" si="14"/>
        <v>1</v>
      </c>
    </row>
    <row r="47" spans="2:41" x14ac:dyDescent="0.25">
      <c r="B47" s="180" t="s">
        <v>139</v>
      </c>
      <c r="C47" s="101">
        <v>0</v>
      </c>
      <c r="D47" s="101">
        <v>0</v>
      </c>
      <c r="E47" s="120">
        <f t="shared" si="8"/>
        <v>0</v>
      </c>
      <c r="G47" s="99" t="str">
        <f t="shared" si="9"/>
        <v xml:space="preserve">DIR. FINANCIERA </v>
      </c>
      <c r="H47" s="135">
        <f>VLOOKUP(Tabla3[[#This Row],[DEPENDENCIAS DE NIVEL CENTRAL]],$B$29:$E$51,2,)</f>
        <v>0</v>
      </c>
      <c r="I47" s="135">
        <f>VLOOKUP(Tabla3[[#This Row],[DEPENDENCIAS DE NIVEL CENTRAL]],$B$29:$E$51,3,)</f>
        <v>0</v>
      </c>
      <c r="J47" s="135">
        <f t="shared" si="18"/>
        <v>2</v>
      </c>
      <c r="K47" s="135">
        <f>VLOOKUP(Tabla3[[#This Row],[DEPENDENCIAS DE NIVEL CENTRAL]],$B$91:$E$113,2,)</f>
        <v>0</v>
      </c>
      <c r="L47" s="156">
        <f>VLOOKUP(Tabla3[[#This Row],[DEPENDENCIAS DE NIVEL CENTRAL]],$B$91:$E$113,3,)</f>
        <v>0</v>
      </c>
      <c r="M47" s="160">
        <f>VLOOKUP(Tabla3[[#This Row],[DEPENDENCIAS DE NIVEL CENTRAL]],'Comparativo NC'!$B$404:$H$426,3,)</f>
        <v>0</v>
      </c>
      <c r="N47" s="101">
        <f>VLOOKUP(Tabla3[[#This Row],[DEPENDENCIAS DE NIVEL CENTRAL]],'Comparativo NC'!$B$404:$H$426,5,)</f>
        <v>0</v>
      </c>
      <c r="O47" s="161">
        <f>VLOOKUP(Tabla3[[#This Row],[DEPENDENCIAS DE NIVEL CENTRAL]],'Comparativo NC'!$B$404:$H$426,7,)</f>
        <v>0</v>
      </c>
      <c r="Q47"/>
      <c r="R47"/>
      <c r="S47"/>
      <c r="T47"/>
      <c r="U47"/>
      <c r="W47" s="98">
        <f t="shared" si="15"/>
        <v>0</v>
      </c>
      <c r="X47" s="98" t="e">
        <f t="shared" si="16"/>
        <v>#REF!</v>
      </c>
      <c r="Y47" s="98" t="e">
        <f t="shared" si="17"/>
        <v>#REF!</v>
      </c>
      <c r="AH47"/>
      <c r="AI47" t="s">
        <v>131</v>
      </c>
      <c r="AJ47" s="178">
        <v>1</v>
      </c>
      <c r="AK47" s="178">
        <v>0</v>
      </c>
      <c r="AM47" s="184" t="str">
        <f t="shared" si="12"/>
        <v>DIR. PARA LA GESTION DEL DESARROLLO LOCAL</v>
      </c>
      <c r="AN47" s="179">
        <f t="shared" si="13"/>
        <v>1</v>
      </c>
      <c r="AO47" s="179">
        <f t="shared" si="14"/>
        <v>0</v>
      </c>
    </row>
    <row r="48" spans="2:41" x14ac:dyDescent="0.25">
      <c r="B48" s="180" t="s">
        <v>140</v>
      </c>
      <c r="C48" s="101">
        <v>0</v>
      </c>
      <c r="D48" s="101">
        <v>0</v>
      </c>
      <c r="E48" s="120">
        <f t="shared" si="8"/>
        <v>0</v>
      </c>
      <c r="G48" s="99" t="str">
        <f t="shared" si="9"/>
        <v>DIR. DE TECNOLOGIAS E INFORMACIÓN</v>
      </c>
      <c r="H48" s="135">
        <f>VLOOKUP(Tabla3[[#This Row],[DEPENDENCIAS DE NIVEL CENTRAL]],$B$29:$E$51,2,)</f>
        <v>0</v>
      </c>
      <c r="I48" s="135">
        <f>VLOOKUP(Tabla3[[#This Row],[DEPENDENCIAS DE NIVEL CENTRAL]],$B$29:$E$51,3,)</f>
        <v>0</v>
      </c>
      <c r="J48" s="135">
        <f t="shared" si="18"/>
        <v>2</v>
      </c>
      <c r="K48" s="135">
        <f>VLOOKUP(Tabla3[[#This Row],[DEPENDENCIAS DE NIVEL CENTRAL]],$B$91:$E$113,2,)</f>
        <v>0</v>
      </c>
      <c r="L48" s="156">
        <f>VLOOKUP(Tabla3[[#This Row],[DEPENDENCIAS DE NIVEL CENTRAL]],$B$91:$E$113,3,)</f>
        <v>0</v>
      </c>
      <c r="M48" s="160">
        <f>VLOOKUP(Tabla3[[#This Row],[DEPENDENCIAS DE NIVEL CENTRAL]],'Comparativo NC'!$B$404:$H$426,3,)</f>
        <v>0</v>
      </c>
      <c r="N48" s="101">
        <f>VLOOKUP(Tabla3[[#This Row],[DEPENDENCIAS DE NIVEL CENTRAL]],'Comparativo NC'!$B$404:$H$426,5,)</f>
        <v>0</v>
      </c>
      <c r="O48" s="161">
        <f>VLOOKUP(Tabla3[[#This Row],[DEPENDENCIAS DE NIVEL CENTRAL]],'Comparativo NC'!$B$404:$H$426,7,)</f>
        <v>0</v>
      </c>
      <c r="Q48"/>
      <c r="R48"/>
      <c r="S48"/>
      <c r="T48"/>
      <c r="U48"/>
      <c r="W48" s="98">
        <f t="shared" si="15"/>
        <v>0</v>
      </c>
      <c r="X48" s="98" t="e">
        <f t="shared" si="16"/>
        <v>#REF!</v>
      </c>
      <c r="Y48" s="98" t="e">
        <f t="shared" si="17"/>
        <v>#REF!</v>
      </c>
      <c r="AH48"/>
      <c r="AI48" t="s">
        <v>144</v>
      </c>
      <c r="AJ48" s="178">
        <v>1</v>
      </c>
      <c r="AK48" s="178">
        <v>0</v>
      </c>
      <c r="AM48" s="184" t="str">
        <f t="shared" si="12"/>
        <v>SUBDIR. DE ASUNTOS PARA COMUNIDADES NEGRAS, AFROCOLOMBIANAS, RAIZALES Y PALENQUERAS</v>
      </c>
      <c r="AN48" s="179">
        <f t="shared" si="13"/>
        <v>1</v>
      </c>
      <c r="AO48" s="179">
        <f t="shared" si="14"/>
        <v>0</v>
      </c>
    </row>
    <row r="49" spans="2:41" x14ac:dyDescent="0.25">
      <c r="B49" s="180" t="s">
        <v>37</v>
      </c>
      <c r="C49" s="101">
        <v>0</v>
      </c>
      <c r="D49" s="101">
        <v>0</v>
      </c>
      <c r="E49" s="120">
        <f t="shared" si="8"/>
        <v>0</v>
      </c>
      <c r="G49" s="99" t="str">
        <f t="shared" si="9"/>
        <v xml:space="preserve">OFICINA ASESORA DE COMUNICACIONES </v>
      </c>
      <c r="H49" s="135">
        <f>VLOOKUP(Tabla3[[#This Row],[DEPENDENCIAS DE NIVEL CENTRAL]],$B$29:$E$51,2,)</f>
        <v>0</v>
      </c>
      <c r="I49" s="135">
        <f>VLOOKUP(Tabla3[[#This Row],[DEPENDENCIAS DE NIVEL CENTRAL]],$B$29:$E$51,3,)</f>
        <v>0</v>
      </c>
      <c r="J49" s="135">
        <f t="shared" si="18"/>
        <v>2</v>
      </c>
      <c r="K49" s="135">
        <f>VLOOKUP(Tabla3[[#This Row],[DEPENDENCIAS DE NIVEL CENTRAL]],$B$91:$E$113,2,)</f>
        <v>0</v>
      </c>
      <c r="L49" s="156">
        <f>VLOOKUP(Tabla3[[#This Row],[DEPENDENCIAS DE NIVEL CENTRAL]],$B$91:$E$113,3,)</f>
        <v>0</v>
      </c>
      <c r="M49" s="160">
        <f>VLOOKUP(Tabla3[[#This Row],[DEPENDENCIAS DE NIVEL CENTRAL]],'Comparativo NC'!$B$404:$H$426,3,)</f>
        <v>0</v>
      </c>
      <c r="N49" s="101">
        <f>VLOOKUP(Tabla3[[#This Row],[DEPENDENCIAS DE NIVEL CENTRAL]],'Comparativo NC'!$B$404:$H$426,5,)</f>
        <v>0</v>
      </c>
      <c r="O49" s="161">
        <f>VLOOKUP(Tabla3[[#This Row],[DEPENDENCIAS DE NIVEL CENTRAL]],'Comparativo NC'!$B$404:$H$426,7,)</f>
        <v>0</v>
      </c>
      <c r="Q49"/>
      <c r="R49"/>
      <c r="S49"/>
      <c r="T49"/>
      <c r="U49"/>
      <c r="W49" s="98">
        <f t="shared" si="15"/>
        <v>0</v>
      </c>
      <c r="X49" s="98" t="e">
        <f t="shared" si="16"/>
        <v>#REF!</v>
      </c>
      <c r="Y49" s="98" t="e">
        <f t="shared" si="17"/>
        <v>#REF!</v>
      </c>
      <c r="AH49" s="178">
        <v>3</v>
      </c>
      <c r="AI49" t="s">
        <v>133</v>
      </c>
      <c r="AJ49" s="178">
        <v>2</v>
      </c>
      <c r="AK49" s="178">
        <v>1</v>
      </c>
      <c r="AM49" s="184" t="str">
        <f t="shared" si="12"/>
        <v xml:space="preserve">DIR. DE GESTIÓN DEL TALENTO HUMANO </v>
      </c>
      <c r="AN49" s="179">
        <f t="shared" si="13"/>
        <v>2</v>
      </c>
      <c r="AO49" s="179">
        <f t="shared" si="14"/>
        <v>1</v>
      </c>
    </row>
    <row r="50" spans="2:41" x14ac:dyDescent="0.25">
      <c r="B50" s="180" t="s">
        <v>141</v>
      </c>
      <c r="C50" s="101">
        <v>0</v>
      </c>
      <c r="D50" s="101">
        <v>0</v>
      </c>
      <c r="E50" s="120">
        <f t="shared" si="8"/>
        <v>0</v>
      </c>
      <c r="G50" s="99" t="str">
        <f t="shared" si="9"/>
        <v>DIR. DE RELACIONES POLITICAS</v>
      </c>
      <c r="H50" s="135">
        <f>VLOOKUP(Tabla3[[#This Row],[DEPENDENCIAS DE NIVEL CENTRAL]],$B$29:$E$51,2,)</f>
        <v>0</v>
      </c>
      <c r="I50" s="135">
        <f>VLOOKUP(Tabla3[[#This Row],[DEPENDENCIAS DE NIVEL CENTRAL]],$B$29:$E$51,3,)</f>
        <v>0</v>
      </c>
      <c r="J50" s="135">
        <f t="shared" si="18"/>
        <v>2</v>
      </c>
      <c r="K50" s="135">
        <f>VLOOKUP(Tabla3[[#This Row],[DEPENDENCIAS DE NIVEL CENTRAL]],$B$91:$E$113,2,)</f>
        <v>0</v>
      </c>
      <c r="L50" s="156">
        <f>VLOOKUP(Tabla3[[#This Row],[DEPENDENCIAS DE NIVEL CENTRAL]],$B$91:$E$113,3,)</f>
        <v>0</v>
      </c>
      <c r="M50" s="160">
        <f>VLOOKUP(Tabla3[[#This Row],[DEPENDENCIAS DE NIVEL CENTRAL]],'Comparativo NC'!$B$404:$H$426,3,)</f>
        <v>0</v>
      </c>
      <c r="N50" s="101">
        <f>VLOOKUP(Tabla3[[#This Row],[DEPENDENCIAS DE NIVEL CENTRAL]],'Comparativo NC'!$B$404:$H$426,5,)</f>
        <v>0</v>
      </c>
      <c r="O50" s="161">
        <f>VLOOKUP(Tabla3[[#This Row],[DEPENDENCIAS DE NIVEL CENTRAL]],'Comparativo NC'!$B$404:$H$426,7,)</f>
        <v>0</v>
      </c>
      <c r="Q50"/>
      <c r="R50"/>
      <c r="S50"/>
      <c r="T50"/>
      <c r="U50"/>
      <c r="W50" s="98">
        <f t="shared" si="15"/>
        <v>0</v>
      </c>
      <c r="X50" s="98" t="e">
        <f t="shared" si="16"/>
        <v>#REF!</v>
      </c>
      <c r="Y50" s="98" t="e">
        <f t="shared" si="17"/>
        <v>#REF!</v>
      </c>
      <c r="AH50" s="178">
        <v>7</v>
      </c>
      <c r="AI50" t="s">
        <v>130</v>
      </c>
      <c r="AJ50" s="178">
        <v>3</v>
      </c>
      <c r="AK50" s="178">
        <v>4</v>
      </c>
      <c r="AM50" s="184" t="str">
        <f t="shared" si="12"/>
        <v>DIR. PARA LA GESTIÓN POLICIVA</v>
      </c>
      <c r="AN50" s="179">
        <f t="shared" si="13"/>
        <v>3</v>
      </c>
      <c r="AO50" s="179">
        <f t="shared" si="14"/>
        <v>4</v>
      </c>
    </row>
    <row r="51" spans="2:41" ht="15.75" thickBot="1" x14ac:dyDescent="0.3">
      <c r="B51" s="180" t="s">
        <v>142</v>
      </c>
      <c r="C51" s="101">
        <v>0</v>
      </c>
      <c r="D51" s="101">
        <v>0</v>
      </c>
      <c r="E51" s="120">
        <f t="shared" si="8"/>
        <v>0</v>
      </c>
      <c r="G51" s="99" t="str">
        <f t="shared" si="9"/>
        <v>SUBDIR. DE ASUNTOS DE LIBERTAD RELIGIOSA Y DE CONCIENCIA</v>
      </c>
      <c r="H51" s="135">
        <f>VLOOKUP(Tabla3[[#This Row],[DEPENDENCIAS DE NIVEL CENTRAL]],$B$29:$E$51,2,)</f>
        <v>0</v>
      </c>
      <c r="I51" s="135">
        <f>VLOOKUP(Tabla3[[#This Row],[DEPENDENCIAS DE NIVEL CENTRAL]],$B$29:$E$51,3,)</f>
        <v>0</v>
      </c>
      <c r="J51" s="135">
        <f t="shared" si="18"/>
        <v>0</v>
      </c>
      <c r="K51" s="135">
        <f>VLOOKUP(Tabla3[[#This Row],[DEPENDENCIAS DE NIVEL CENTRAL]],$B$91:$E$113,2,)</f>
        <v>0</v>
      </c>
      <c r="L51" s="156">
        <f>VLOOKUP(Tabla3[[#This Row],[DEPENDENCIAS DE NIVEL CENTRAL]],$B$91:$E$113,3,)</f>
        <v>0</v>
      </c>
      <c r="M51" s="162">
        <f>VLOOKUP(Tabla3[[#This Row],[DEPENDENCIAS DE NIVEL CENTRAL]],'Comparativo NC'!$B$404:$H$426,3,)</f>
        <v>0</v>
      </c>
      <c r="N51" s="163">
        <f>VLOOKUP(Tabla3[[#This Row],[DEPENDENCIAS DE NIVEL CENTRAL]],'Comparativo NC'!$B$404:$H$426,5,)</f>
        <v>0</v>
      </c>
      <c r="O51" s="164">
        <f>VLOOKUP(Tabla3[[#This Row],[DEPENDENCIAS DE NIVEL CENTRAL]],'Comparativo NC'!$B$404:$H$426,7,)</f>
        <v>0</v>
      </c>
      <c r="Q51"/>
      <c r="R51"/>
      <c r="S51"/>
      <c r="T51"/>
      <c r="U51"/>
      <c r="W51" s="98">
        <f t="shared" si="15"/>
        <v>0</v>
      </c>
      <c r="X51" s="98" t="e">
        <f t="shared" si="16"/>
        <v>#REF!</v>
      </c>
      <c r="Y51" s="98" t="e">
        <f t="shared" si="17"/>
        <v>#REF!</v>
      </c>
      <c r="AH51" s="178">
        <v>8</v>
      </c>
      <c r="AI51" t="s">
        <v>129</v>
      </c>
      <c r="AJ51" s="178">
        <v>7</v>
      </c>
      <c r="AK51" s="178">
        <v>1</v>
      </c>
    </row>
    <row r="52" spans="2:41" ht="16.5" thickTop="1" thickBot="1" x14ac:dyDescent="0.3">
      <c r="B52" s="110" t="s">
        <v>3</v>
      </c>
      <c r="C52" s="111">
        <f>SUM(C30:C51)</f>
        <v>21</v>
      </c>
      <c r="D52" s="111">
        <f>SUM(D28:D51)</f>
        <v>61</v>
      </c>
      <c r="E52" s="112">
        <f>SUM(E28:E51)</f>
        <v>82</v>
      </c>
      <c r="Q52"/>
      <c r="R52"/>
      <c r="S52"/>
      <c r="T52"/>
      <c r="U52"/>
      <c r="AH52"/>
      <c r="AI52"/>
      <c r="AJ52"/>
    </row>
    <row r="53" spans="2:41" x14ac:dyDescent="0.25">
      <c r="AH53"/>
      <c r="AI53"/>
    </row>
    <row r="54" spans="2:41" x14ac:dyDescent="0.25">
      <c r="AH54"/>
      <c r="AI54"/>
    </row>
    <row r="55" spans="2:41" x14ac:dyDescent="0.25">
      <c r="AH55"/>
      <c r="AI55"/>
    </row>
    <row r="56" spans="2:41" x14ac:dyDescent="0.25">
      <c r="AH56"/>
      <c r="AI56"/>
    </row>
    <row r="57" spans="2:41" x14ac:dyDescent="0.25">
      <c r="AH57"/>
      <c r="AI57"/>
    </row>
    <row r="58" spans="2:41" x14ac:dyDescent="0.25">
      <c r="AH58"/>
      <c r="AI58"/>
    </row>
    <row r="59" spans="2:41" x14ac:dyDescent="0.25">
      <c r="AH59"/>
      <c r="AI59"/>
    </row>
    <row r="60" spans="2:41" x14ac:dyDescent="0.25">
      <c r="T60" s="113"/>
      <c r="U60" s="113"/>
      <c r="AH60"/>
      <c r="AI60"/>
    </row>
    <row r="61" spans="2:41" x14ac:dyDescent="0.25">
      <c r="AH61"/>
      <c r="AI61"/>
    </row>
    <row r="62" spans="2:41" ht="15.75" thickBot="1" x14ac:dyDescent="0.3"/>
    <row r="63" spans="2:41" ht="15.75" thickBot="1" x14ac:dyDescent="0.3">
      <c r="B63" s="188" t="s">
        <v>39</v>
      </c>
      <c r="C63" s="189"/>
      <c r="D63" s="189"/>
      <c r="E63" s="190"/>
    </row>
    <row r="64" spans="2:41" ht="60.75" thickBot="1" x14ac:dyDescent="0.3">
      <c r="B64" s="114" t="s">
        <v>40</v>
      </c>
      <c r="C64" s="115" t="s">
        <v>147</v>
      </c>
      <c r="D64" s="115" t="s">
        <v>148</v>
      </c>
      <c r="E64" s="116" t="s">
        <v>41</v>
      </c>
    </row>
    <row r="65" spans="2:5" x14ac:dyDescent="0.25">
      <c r="B65" s="103" t="s">
        <v>93</v>
      </c>
      <c r="C65" s="117">
        <v>15</v>
      </c>
      <c r="D65" s="118">
        <v>11</v>
      </c>
      <c r="E65" s="119">
        <f t="shared" ref="E65:E84" si="19">+C65+D65</f>
        <v>26</v>
      </c>
    </row>
    <row r="66" spans="2:5" x14ac:dyDescent="0.25">
      <c r="B66" s="100" t="s">
        <v>51</v>
      </c>
      <c r="C66" s="89">
        <v>11</v>
      </c>
      <c r="D66" s="90">
        <v>7</v>
      </c>
      <c r="E66" s="120">
        <f t="shared" si="19"/>
        <v>18</v>
      </c>
    </row>
    <row r="67" spans="2:5" x14ac:dyDescent="0.25">
      <c r="B67" s="100" t="s">
        <v>53</v>
      </c>
      <c r="C67" s="89">
        <v>16</v>
      </c>
      <c r="D67" s="90">
        <v>2</v>
      </c>
      <c r="E67" s="120">
        <f t="shared" si="19"/>
        <v>18</v>
      </c>
    </row>
    <row r="68" spans="2:5" x14ac:dyDescent="0.25">
      <c r="B68" s="100" t="s">
        <v>57</v>
      </c>
      <c r="C68" s="89">
        <v>11</v>
      </c>
      <c r="D68" s="90">
        <v>6</v>
      </c>
      <c r="E68" s="120">
        <f t="shared" si="19"/>
        <v>17</v>
      </c>
    </row>
    <row r="69" spans="2:5" x14ac:dyDescent="0.25">
      <c r="B69" s="100" t="s">
        <v>46</v>
      </c>
      <c r="C69" s="89">
        <v>7</v>
      </c>
      <c r="D69" s="90">
        <v>9</v>
      </c>
      <c r="E69" s="120">
        <f t="shared" si="19"/>
        <v>16</v>
      </c>
    </row>
    <row r="70" spans="2:5" x14ac:dyDescent="0.25">
      <c r="B70" s="100" t="s">
        <v>56</v>
      </c>
      <c r="C70" s="89">
        <v>6</v>
      </c>
      <c r="D70" s="90">
        <v>7</v>
      </c>
      <c r="E70" s="120">
        <f t="shared" si="19"/>
        <v>13</v>
      </c>
    </row>
    <row r="71" spans="2:5" x14ac:dyDescent="0.25">
      <c r="B71" s="100" t="s">
        <v>59</v>
      </c>
      <c r="C71" s="89">
        <v>3</v>
      </c>
      <c r="D71" s="90">
        <v>8</v>
      </c>
      <c r="E71" s="120">
        <f t="shared" si="19"/>
        <v>11</v>
      </c>
    </row>
    <row r="72" spans="2:5" x14ac:dyDescent="0.25">
      <c r="B72" s="100" t="s">
        <v>49</v>
      </c>
      <c r="C72" s="89">
        <v>4</v>
      </c>
      <c r="D72" s="90">
        <v>5</v>
      </c>
      <c r="E72" s="120">
        <f t="shared" si="19"/>
        <v>9</v>
      </c>
    </row>
    <row r="73" spans="2:5" x14ac:dyDescent="0.25">
      <c r="B73" s="100" t="s">
        <v>55</v>
      </c>
      <c r="C73" s="89">
        <v>3</v>
      </c>
      <c r="D73" s="90">
        <v>6</v>
      </c>
      <c r="E73" s="120">
        <f t="shared" si="19"/>
        <v>9</v>
      </c>
    </row>
    <row r="74" spans="2:5" x14ac:dyDescent="0.25">
      <c r="B74" s="100" t="s">
        <v>94</v>
      </c>
      <c r="C74" s="89">
        <v>6</v>
      </c>
      <c r="D74" s="90">
        <v>2</v>
      </c>
      <c r="E74" s="120">
        <f t="shared" si="19"/>
        <v>8</v>
      </c>
    </row>
    <row r="75" spans="2:5" x14ac:dyDescent="0.25">
      <c r="B75" s="100" t="s">
        <v>58</v>
      </c>
      <c r="C75" s="89">
        <v>7</v>
      </c>
      <c r="D75" s="90">
        <v>1</v>
      </c>
      <c r="E75" s="120">
        <f t="shared" si="19"/>
        <v>8</v>
      </c>
    </row>
    <row r="76" spans="2:5" x14ac:dyDescent="0.25">
      <c r="B76" s="100" t="s">
        <v>43</v>
      </c>
      <c r="C76" s="89">
        <v>3</v>
      </c>
      <c r="D76" s="90">
        <v>2</v>
      </c>
      <c r="E76" s="120">
        <f t="shared" si="19"/>
        <v>5</v>
      </c>
    </row>
    <row r="77" spans="2:5" x14ac:dyDescent="0.25">
      <c r="B77" s="100" t="s">
        <v>47</v>
      </c>
      <c r="C77" s="89">
        <v>1</v>
      </c>
      <c r="D77" s="90">
        <v>3</v>
      </c>
      <c r="E77" s="120">
        <f t="shared" si="19"/>
        <v>4</v>
      </c>
    </row>
    <row r="78" spans="2:5" x14ac:dyDescent="0.25">
      <c r="B78" s="100" t="s">
        <v>50</v>
      </c>
      <c r="C78" s="89">
        <v>0</v>
      </c>
      <c r="D78" s="90">
        <v>3</v>
      </c>
      <c r="E78" s="120">
        <f t="shared" si="19"/>
        <v>3</v>
      </c>
    </row>
    <row r="79" spans="2:5" x14ac:dyDescent="0.25">
      <c r="B79" s="100" t="s">
        <v>42</v>
      </c>
      <c r="C79" s="89">
        <v>0</v>
      </c>
      <c r="D79" s="90">
        <v>2</v>
      </c>
      <c r="E79" s="120">
        <f t="shared" si="19"/>
        <v>2</v>
      </c>
    </row>
    <row r="80" spans="2:5" x14ac:dyDescent="0.25">
      <c r="B80" s="100" t="s">
        <v>45</v>
      </c>
      <c r="C80" s="89">
        <v>2</v>
      </c>
      <c r="D80" s="90">
        <v>0</v>
      </c>
      <c r="E80" s="120">
        <f t="shared" si="19"/>
        <v>2</v>
      </c>
    </row>
    <row r="81" spans="2:21" x14ac:dyDescent="0.25">
      <c r="B81" s="100" t="s">
        <v>48</v>
      </c>
      <c r="C81" s="89">
        <v>0</v>
      </c>
      <c r="D81" s="90">
        <v>2</v>
      </c>
      <c r="E81" s="120">
        <f t="shared" si="19"/>
        <v>2</v>
      </c>
    </row>
    <row r="82" spans="2:21" x14ac:dyDescent="0.25">
      <c r="B82" s="100" t="s">
        <v>52</v>
      </c>
      <c r="C82" s="89">
        <v>0</v>
      </c>
      <c r="D82" s="90">
        <v>2</v>
      </c>
      <c r="E82" s="120">
        <f t="shared" si="19"/>
        <v>2</v>
      </c>
    </row>
    <row r="83" spans="2:21" x14ac:dyDescent="0.25">
      <c r="B83" s="100" t="s">
        <v>54</v>
      </c>
      <c r="C83" s="89">
        <v>1</v>
      </c>
      <c r="D83" s="90">
        <v>1</v>
      </c>
      <c r="E83" s="120">
        <f t="shared" si="19"/>
        <v>2</v>
      </c>
    </row>
    <row r="84" spans="2:21" x14ac:dyDescent="0.25">
      <c r="B84" s="100" t="s">
        <v>44</v>
      </c>
      <c r="C84" s="89">
        <v>0</v>
      </c>
      <c r="D84" s="90">
        <v>0</v>
      </c>
      <c r="E84" s="120">
        <f t="shared" si="19"/>
        <v>0</v>
      </c>
    </row>
    <row r="85" spans="2:21" ht="15.75" thickBot="1" x14ac:dyDescent="0.3">
      <c r="B85" s="121" t="s">
        <v>3</v>
      </c>
      <c r="C85" s="122">
        <f>SUM(C65:C84)</f>
        <v>96</v>
      </c>
      <c r="D85" s="122">
        <f>SUM(D65:D84)</f>
        <v>79</v>
      </c>
      <c r="E85" s="123">
        <f>SUM(E65:E84)</f>
        <v>175</v>
      </c>
    </row>
    <row r="86" spans="2:21" x14ac:dyDescent="0.25">
      <c r="T86" s="124"/>
      <c r="U86" s="124"/>
    </row>
    <row r="87" spans="2:21" x14ac:dyDescent="0.25">
      <c r="T87" s="124"/>
      <c r="U87" s="124"/>
    </row>
    <row r="88" spans="2:21" x14ac:dyDescent="0.25">
      <c r="T88" s="125"/>
      <c r="U88" s="125"/>
    </row>
    <row r="89" spans="2:21" ht="15.75" thickBot="1" x14ac:dyDescent="0.3"/>
    <row r="90" spans="2:21" ht="15.75" thickBot="1" x14ac:dyDescent="0.3">
      <c r="B90" s="188" t="s">
        <v>39</v>
      </c>
      <c r="C90" s="189"/>
      <c r="D90" s="189"/>
      <c r="E90" s="190"/>
    </row>
    <row r="91" spans="2:21" ht="60.75" thickBot="1" x14ac:dyDescent="0.3">
      <c r="B91" s="106" t="s">
        <v>24</v>
      </c>
      <c r="C91" s="115" t="s">
        <v>147</v>
      </c>
      <c r="D91" s="115" t="s">
        <v>148</v>
      </c>
      <c r="E91" s="126" t="s">
        <v>3</v>
      </c>
      <c r="T91" s="127"/>
      <c r="U91" s="127"/>
    </row>
    <row r="92" spans="2:21" x14ac:dyDescent="0.25">
      <c r="B92" s="180" t="s">
        <v>129</v>
      </c>
      <c r="C92" s="89">
        <v>7</v>
      </c>
      <c r="D92" s="90">
        <v>1</v>
      </c>
      <c r="E92" s="109">
        <f t="shared" ref="E92:E113" si="20">+C92+D92</f>
        <v>8</v>
      </c>
      <c r="T92" s="124"/>
      <c r="U92" s="124"/>
    </row>
    <row r="93" spans="2:21" x14ac:dyDescent="0.25">
      <c r="B93" s="180" t="s">
        <v>130</v>
      </c>
      <c r="C93" s="89">
        <v>3</v>
      </c>
      <c r="D93" s="90">
        <v>4</v>
      </c>
      <c r="E93" s="109">
        <f t="shared" si="20"/>
        <v>7</v>
      </c>
      <c r="T93" s="124"/>
      <c r="U93" s="124"/>
    </row>
    <row r="94" spans="2:21" x14ac:dyDescent="0.25">
      <c r="B94" s="181" t="s">
        <v>133</v>
      </c>
      <c r="C94" s="89">
        <v>2</v>
      </c>
      <c r="D94" s="90">
        <v>1</v>
      </c>
      <c r="E94" s="109">
        <f t="shared" si="20"/>
        <v>3</v>
      </c>
      <c r="T94" s="124"/>
      <c r="U94" s="124"/>
    </row>
    <row r="95" spans="2:21" x14ac:dyDescent="0.25">
      <c r="B95" s="180" t="s">
        <v>132</v>
      </c>
      <c r="C95" s="89">
        <v>0</v>
      </c>
      <c r="D95" s="90">
        <v>1</v>
      </c>
      <c r="E95" s="109">
        <f t="shared" si="20"/>
        <v>1</v>
      </c>
      <c r="T95" s="124"/>
      <c r="U95" s="124"/>
    </row>
    <row r="96" spans="2:21" x14ac:dyDescent="0.25">
      <c r="B96" s="180" t="s">
        <v>131</v>
      </c>
      <c r="C96" s="89">
        <v>1</v>
      </c>
      <c r="D96" s="90">
        <v>0</v>
      </c>
      <c r="E96" s="109">
        <f t="shared" si="20"/>
        <v>1</v>
      </c>
      <c r="T96" s="124"/>
      <c r="U96" s="124"/>
    </row>
    <row r="97" spans="2:5" x14ac:dyDescent="0.25">
      <c r="B97" s="180" t="s">
        <v>144</v>
      </c>
      <c r="C97" s="89">
        <v>1</v>
      </c>
      <c r="D97" s="90">
        <v>0</v>
      </c>
      <c r="E97" s="109">
        <f t="shared" si="20"/>
        <v>1</v>
      </c>
    </row>
    <row r="98" spans="2:5" x14ac:dyDescent="0.25">
      <c r="B98" s="180" t="s">
        <v>26</v>
      </c>
      <c r="C98" s="89">
        <v>0</v>
      </c>
      <c r="D98" s="90">
        <v>0</v>
      </c>
      <c r="E98" s="109">
        <f t="shared" si="20"/>
        <v>0</v>
      </c>
    </row>
    <row r="99" spans="2:5" x14ac:dyDescent="0.25">
      <c r="B99" s="180" t="s">
        <v>135</v>
      </c>
      <c r="C99" s="89">
        <v>0</v>
      </c>
      <c r="D99" s="90">
        <v>0</v>
      </c>
      <c r="E99" s="109">
        <f t="shared" si="20"/>
        <v>0</v>
      </c>
    </row>
    <row r="100" spans="2:5" x14ac:dyDescent="0.25">
      <c r="B100" s="180" t="s">
        <v>136</v>
      </c>
      <c r="C100" s="89">
        <v>0</v>
      </c>
      <c r="D100" s="90">
        <v>0</v>
      </c>
      <c r="E100" s="109">
        <f t="shared" si="20"/>
        <v>0</v>
      </c>
    </row>
    <row r="101" spans="2:5" x14ac:dyDescent="0.25">
      <c r="B101" s="180" t="s">
        <v>30</v>
      </c>
      <c r="C101" s="89">
        <v>0</v>
      </c>
      <c r="D101" s="90">
        <v>0</v>
      </c>
      <c r="E101" s="109">
        <f t="shared" si="20"/>
        <v>0</v>
      </c>
    </row>
    <row r="102" spans="2:5" x14ac:dyDescent="0.25">
      <c r="B102" s="180" t="s">
        <v>143</v>
      </c>
      <c r="C102" s="89">
        <v>0</v>
      </c>
      <c r="D102" s="90">
        <v>0</v>
      </c>
      <c r="E102" s="109">
        <f t="shared" si="20"/>
        <v>0</v>
      </c>
    </row>
    <row r="103" spans="2:5" x14ac:dyDescent="0.25">
      <c r="B103" s="180" t="s">
        <v>106</v>
      </c>
      <c r="C103" s="89">
        <v>0</v>
      </c>
      <c r="D103" s="90">
        <v>0</v>
      </c>
      <c r="E103" s="109">
        <f t="shared" si="20"/>
        <v>0</v>
      </c>
    </row>
    <row r="104" spans="2:5" x14ac:dyDescent="0.25">
      <c r="B104" s="180" t="s">
        <v>107</v>
      </c>
      <c r="C104" s="89">
        <v>0</v>
      </c>
      <c r="D104" s="90">
        <v>0</v>
      </c>
      <c r="E104" s="109">
        <f t="shared" si="20"/>
        <v>0</v>
      </c>
    </row>
    <row r="105" spans="2:5" x14ac:dyDescent="0.25">
      <c r="B105" s="180" t="s">
        <v>137</v>
      </c>
      <c r="C105" s="89">
        <v>0</v>
      </c>
      <c r="D105" s="90">
        <v>0</v>
      </c>
      <c r="E105" s="109">
        <f t="shared" si="20"/>
        <v>0</v>
      </c>
    </row>
    <row r="106" spans="2:5" x14ac:dyDescent="0.25">
      <c r="B106" s="180" t="s">
        <v>138</v>
      </c>
      <c r="C106" s="89">
        <v>0</v>
      </c>
      <c r="D106" s="90">
        <v>0</v>
      </c>
      <c r="E106" s="109">
        <f t="shared" si="20"/>
        <v>0</v>
      </c>
    </row>
    <row r="107" spans="2:5" x14ac:dyDescent="0.25">
      <c r="B107" s="180" t="s">
        <v>34</v>
      </c>
      <c r="C107" s="89">
        <v>0</v>
      </c>
      <c r="D107" s="90">
        <v>0</v>
      </c>
      <c r="E107" s="109">
        <f t="shared" si="20"/>
        <v>0</v>
      </c>
    </row>
    <row r="108" spans="2:5" x14ac:dyDescent="0.25">
      <c r="B108" s="180" t="s">
        <v>139</v>
      </c>
      <c r="C108" s="89">
        <v>0</v>
      </c>
      <c r="D108" s="90">
        <v>0</v>
      </c>
      <c r="E108" s="109">
        <f t="shared" si="20"/>
        <v>0</v>
      </c>
    </row>
    <row r="109" spans="2:5" x14ac:dyDescent="0.25">
      <c r="B109" s="180" t="s">
        <v>140</v>
      </c>
      <c r="C109" s="89">
        <v>0</v>
      </c>
      <c r="D109" s="90">
        <v>0</v>
      </c>
      <c r="E109" s="109">
        <f t="shared" si="20"/>
        <v>0</v>
      </c>
    </row>
    <row r="110" spans="2:5" x14ac:dyDescent="0.25">
      <c r="B110" s="180" t="s">
        <v>37</v>
      </c>
      <c r="C110" s="89">
        <v>0</v>
      </c>
      <c r="D110" s="90">
        <v>0</v>
      </c>
      <c r="E110" s="109">
        <f t="shared" si="20"/>
        <v>0</v>
      </c>
    </row>
    <row r="111" spans="2:5" x14ac:dyDescent="0.25">
      <c r="B111" s="180" t="s">
        <v>141</v>
      </c>
      <c r="C111" s="89">
        <v>0</v>
      </c>
      <c r="D111" s="90">
        <v>0</v>
      </c>
      <c r="E111" s="109">
        <f t="shared" si="20"/>
        <v>0</v>
      </c>
    </row>
    <row r="112" spans="2:5" x14ac:dyDescent="0.25">
      <c r="B112" s="180" t="s">
        <v>142</v>
      </c>
      <c r="C112" s="89">
        <v>0</v>
      </c>
      <c r="D112" s="90">
        <v>0</v>
      </c>
      <c r="E112" s="109">
        <f t="shared" si="20"/>
        <v>0</v>
      </c>
    </row>
    <row r="113" spans="2:5" x14ac:dyDescent="0.25">
      <c r="B113" s="180" t="s">
        <v>134</v>
      </c>
      <c r="C113" s="89">
        <v>0</v>
      </c>
      <c r="D113" s="90">
        <v>0</v>
      </c>
      <c r="E113" s="109">
        <f t="shared" si="20"/>
        <v>0</v>
      </c>
    </row>
    <row r="114" spans="2:5" ht="15.75" thickBot="1" x14ac:dyDescent="0.3">
      <c r="B114" s="121" t="s">
        <v>3</v>
      </c>
      <c r="C114" s="128">
        <f>SUM(C92:C113)</f>
        <v>14</v>
      </c>
      <c r="D114" s="128">
        <f>SUM(D92:D113)</f>
        <v>7</v>
      </c>
      <c r="E114" s="129">
        <f>SUM(E92:E113)</f>
        <v>21</v>
      </c>
    </row>
  </sheetData>
  <protectedRanges>
    <protectedRange sqref="AH2:AK22 AH30:AK50" name="Rango1_2"/>
  </protectedRanges>
  <mergeCells count="6">
    <mergeCell ref="C1:E1"/>
    <mergeCell ref="B90:E90"/>
    <mergeCell ref="B63:E63"/>
    <mergeCell ref="C28:E28"/>
    <mergeCell ref="M1:O1"/>
    <mergeCell ref="M28:O28"/>
  </mergeCells>
  <phoneticPr fontId="17" type="noConversion"/>
  <pageMargins left="0.7" right="0.7" top="0.75" bottom="0.75" header="0.3" footer="0.3"/>
  <pageSetup paperSize="9" orientation="portrait" r:id="rId5"/>
  <tableParts count="2"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7C11-C4C8-4ABE-A781-060D21BBB69A}">
  <dimension ref="B1:I508"/>
  <sheetViews>
    <sheetView topLeftCell="F480" zoomScale="98" zoomScaleNormal="98" workbookViewId="0">
      <selection activeCell="I487" sqref="I487"/>
    </sheetView>
  </sheetViews>
  <sheetFormatPr baseColWidth="10" defaultColWidth="8.85546875" defaultRowHeight="15" x14ac:dyDescent="0.25"/>
  <cols>
    <col min="2" max="2" width="37" customWidth="1"/>
    <col min="3" max="4" width="11.42578125" customWidth="1"/>
    <col min="5" max="5" width="41" bestFit="1" customWidth="1"/>
    <col min="6" max="6" width="25.28515625" customWidth="1"/>
    <col min="7" max="7" width="41.28515625" bestFit="1" customWidth="1"/>
    <col min="8" max="8" width="25.28515625" customWidth="1"/>
    <col min="9" max="9" width="40.85546875" bestFit="1" customWidth="1"/>
  </cols>
  <sheetData>
    <row r="1" spans="2:9" ht="15.75" thickBot="1" x14ac:dyDescent="0.3"/>
    <row r="2" spans="2:9" ht="16.5" thickTop="1" thickBot="1" x14ac:dyDescent="0.3">
      <c r="B2" s="200" t="s">
        <v>0</v>
      </c>
      <c r="C2" s="54" t="s">
        <v>61</v>
      </c>
      <c r="D2" s="55"/>
      <c r="E2" s="55"/>
      <c r="F2" s="194" t="s">
        <v>62</v>
      </c>
      <c r="G2" s="195"/>
      <c r="H2" s="196" t="s">
        <v>63</v>
      </c>
      <c r="I2" s="197"/>
    </row>
    <row r="3" spans="2:9" ht="16.5" thickTop="1" thickBot="1" x14ac:dyDescent="0.3">
      <c r="B3" s="201"/>
      <c r="C3" s="56">
        <v>2020</v>
      </c>
      <c r="D3" s="56">
        <v>2021</v>
      </c>
      <c r="E3" s="57" t="s">
        <v>3</v>
      </c>
      <c r="F3" s="58">
        <v>2022</v>
      </c>
      <c r="G3" s="59" t="s">
        <v>3</v>
      </c>
      <c r="H3" s="1">
        <v>2022</v>
      </c>
      <c r="I3" s="2" t="s">
        <v>3</v>
      </c>
    </row>
    <row r="4" spans="2:9" x14ac:dyDescent="0.25">
      <c r="B4" s="60" t="s">
        <v>6</v>
      </c>
      <c r="C4" s="3">
        <v>0</v>
      </c>
      <c r="D4" s="4">
        <v>44</v>
      </c>
      <c r="E4" s="5">
        <v>44</v>
      </c>
      <c r="F4" s="6">
        <v>62</v>
      </c>
      <c r="G4" s="7">
        <f t="shared" ref="G4:G23" si="0">+F4</f>
        <v>62</v>
      </c>
      <c r="H4" s="6">
        <v>32</v>
      </c>
      <c r="I4" s="7">
        <f t="shared" ref="I4:I23" si="1">+F30</f>
        <v>38</v>
      </c>
    </row>
    <row r="5" spans="2:9" x14ac:dyDescent="0.25">
      <c r="B5" s="61" t="s">
        <v>4</v>
      </c>
      <c r="C5" s="8">
        <v>0</v>
      </c>
      <c r="D5" s="9">
        <v>20</v>
      </c>
      <c r="E5" s="10">
        <v>20</v>
      </c>
      <c r="F5" s="8">
        <v>50</v>
      </c>
      <c r="G5" s="10">
        <f t="shared" si="0"/>
        <v>50</v>
      </c>
      <c r="H5" s="8">
        <v>35</v>
      </c>
      <c r="I5" s="10">
        <f t="shared" si="1"/>
        <v>32</v>
      </c>
    </row>
    <row r="6" spans="2:9" x14ac:dyDescent="0.25">
      <c r="B6" s="62" t="s">
        <v>5</v>
      </c>
      <c r="C6" s="8">
        <v>0</v>
      </c>
      <c r="D6" s="9">
        <v>7</v>
      </c>
      <c r="E6" s="10">
        <v>7</v>
      </c>
      <c r="F6" s="8">
        <v>46</v>
      </c>
      <c r="G6" s="10">
        <f t="shared" si="0"/>
        <v>46</v>
      </c>
      <c r="H6" s="8">
        <v>38</v>
      </c>
      <c r="I6" s="10">
        <f t="shared" si="1"/>
        <v>35</v>
      </c>
    </row>
    <row r="7" spans="2:9" x14ac:dyDescent="0.25">
      <c r="B7" s="63" t="s">
        <v>10</v>
      </c>
      <c r="C7" s="8">
        <v>0</v>
      </c>
      <c r="D7" s="9">
        <v>12</v>
      </c>
      <c r="E7" s="10">
        <v>12</v>
      </c>
      <c r="F7" s="8">
        <v>25</v>
      </c>
      <c r="G7" s="10">
        <f t="shared" si="0"/>
        <v>25</v>
      </c>
      <c r="H7" s="8">
        <v>13</v>
      </c>
      <c r="I7" s="10">
        <f t="shared" si="1"/>
        <v>28</v>
      </c>
    </row>
    <row r="8" spans="2:9" x14ac:dyDescent="0.25">
      <c r="B8" s="62" t="s">
        <v>13</v>
      </c>
      <c r="C8" s="8">
        <v>0</v>
      </c>
      <c r="D8" s="9">
        <v>117</v>
      </c>
      <c r="E8" s="10">
        <v>117</v>
      </c>
      <c r="F8" s="8">
        <v>24</v>
      </c>
      <c r="G8" s="10">
        <f t="shared" si="0"/>
        <v>24</v>
      </c>
      <c r="H8" s="8">
        <v>28</v>
      </c>
      <c r="I8" s="10">
        <f t="shared" si="1"/>
        <v>7</v>
      </c>
    </row>
    <row r="9" spans="2:9" x14ac:dyDescent="0.25">
      <c r="B9" s="62" t="s">
        <v>19</v>
      </c>
      <c r="C9" s="8">
        <v>0</v>
      </c>
      <c r="D9" s="9">
        <v>0</v>
      </c>
      <c r="E9" s="10">
        <v>0</v>
      </c>
      <c r="F9" s="8">
        <v>24</v>
      </c>
      <c r="G9" s="10">
        <f t="shared" si="0"/>
        <v>24</v>
      </c>
      <c r="H9" s="8">
        <v>25</v>
      </c>
      <c r="I9" s="10">
        <f t="shared" si="1"/>
        <v>11</v>
      </c>
    </row>
    <row r="10" spans="2:9" x14ac:dyDescent="0.25">
      <c r="B10" s="62" t="s">
        <v>16</v>
      </c>
      <c r="C10" s="8">
        <v>0</v>
      </c>
      <c r="D10" s="9">
        <v>12</v>
      </c>
      <c r="E10" s="10">
        <v>12</v>
      </c>
      <c r="F10" s="8">
        <v>14</v>
      </c>
      <c r="G10" s="10">
        <f t="shared" si="0"/>
        <v>14</v>
      </c>
      <c r="H10" s="8">
        <v>13</v>
      </c>
      <c r="I10" s="10">
        <f t="shared" si="1"/>
        <v>7</v>
      </c>
    </row>
    <row r="11" spans="2:9" x14ac:dyDescent="0.25">
      <c r="B11" s="62" t="s">
        <v>12</v>
      </c>
      <c r="C11" s="8">
        <v>0</v>
      </c>
      <c r="D11" s="9">
        <v>8</v>
      </c>
      <c r="E11" s="10">
        <v>8</v>
      </c>
      <c r="F11" s="8">
        <v>10</v>
      </c>
      <c r="G11" s="10">
        <f t="shared" si="0"/>
        <v>10</v>
      </c>
      <c r="H11" s="8">
        <v>7</v>
      </c>
      <c r="I11" s="10">
        <f t="shared" si="1"/>
        <v>25</v>
      </c>
    </row>
    <row r="12" spans="2:9" x14ac:dyDescent="0.25">
      <c r="B12" s="62" t="s">
        <v>17</v>
      </c>
      <c r="C12" s="8">
        <v>0</v>
      </c>
      <c r="D12" s="9">
        <v>3</v>
      </c>
      <c r="E12" s="10">
        <v>3</v>
      </c>
      <c r="F12" s="8">
        <v>10</v>
      </c>
      <c r="G12" s="10">
        <f t="shared" si="0"/>
        <v>10</v>
      </c>
      <c r="H12" s="8">
        <v>11</v>
      </c>
      <c r="I12" s="10">
        <f t="shared" si="1"/>
        <v>13</v>
      </c>
    </row>
    <row r="13" spans="2:9" x14ac:dyDescent="0.25">
      <c r="B13" s="62" t="s">
        <v>8</v>
      </c>
      <c r="C13" s="8">
        <v>0</v>
      </c>
      <c r="D13" s="9">
        <v>19</v>
      </c>
      <c r="E13" s="10">
        <v>19</v>
      </c>
      <c r="F13" s="8">
        <v>9</v>
      </c>
      <c r="G13" s="10">
        <f t="shared" si="0"/>
        <v>9</v>
      </c>
      <c r="H13" s="8">
        <v>7</v>
      </c>
      <c r="I13" s="10">
        <f t="shared" si="1"/>
        <v>7</v>
      </c>
    </row>
    <row r="14" spans="2:9" x14ac:dyDescent="0.25">
      <c r="B14" s="62" t="s">
        <v>9</v>
      </c>
      <c r="C14" s="8">
        <v>0</v>
      </c>
      <c r="D14" s="9">
        <v>7</v>
      </c>
      <c r="E14" s="10">
        <v>7</v>
      </c>
      <c r="F14" s="8">
        <v>8</v>
      </c>
      <c r="G14" s="10">
        <f t="shared" si="0"/>
        <v>8</v>
      </c>
      <c r="H14" s="8">
        <v>7</v>
      </c>
      <c r="I14" s="10">
        <f t="shared" si="1"/>
        <v>7</v>
      </c>
    </row>
    <row r="15" spans="2:9" x14ac:dyDescent="0.25">
      <c r="B15" s="62" t="s">
        <v>7</v>
      </c>
      <c r="C15" s="8">
        <v>0</v>
      </c>
      <c r="D15" s="9">
        <v>29</v>
      </c>
      <c r="E15" s="10">
        <v>29</v>
      </c>
      <c r="F15" s="8">
        <v>8</v>
      </c>
      <c r="G15" s="10">
        <f t="shared" si="0"/>
        <v>8</v>
      </c>
      <c r="H15" s="8">
        <v>4</v>
      </c>
      <c r="I15" s="10">
        <f t="shared" si="1"/>
        <v>4</v>
      </c>
    </row>
    <row r="16" spans="2:9" x14ac:dyDescent="0.25">
      <c r="B16" s="62" t="s">
        <v>14</v>
      </c>
      <c r="C16" s="8">
        <v>0</v>
      </c>
      <c r="D16" s="9">
        <v>94</v>
      </c>
      <c r="E16" s="10">
        <v>94</v>
      </c>
      <c r="F16" s="8">
        <v>8</v>
      </c>
      <c r="G16" s="10">
        <f t="shared" si="0"/>
        <v>8</v>
      </c>
      <c r="H16" s="8">
        <v>7</v>
      </c>
      <c r="I16" s="10">
        <f t="shared" si="1"/>
        <v>13</v>
      </c>
    </row>
    <row r="17" spans="2:9" x14ac:dyDescent="0.25">
      <c r="B17" s="62" t="s">
        <v>11</v>
      </c>
      <c r="C17" s="8">
        <v>0</v>
      </c>
      <c r="D17" s="9">
        <v>9</v>
      </c>
      <c r="E17" s="10">
        <v>9</v>
      </c>
      <c r="F17" s="8">
        <v>5</v>
      </c>
      <c r="G17" s="10">
        <f t="shared" si="0"/>
        <v>5</v>
      </c>
      <c r="H17" s="8">
        <v>3</v>
      </c>
      <c r="I17" s="10">
        <f t="shared" si="1"/>
        <v>4</v>
      </c>
    </row>
    <row r="18" spans="2:9" x14ac:dyDescent="0.25">
      <c r="B18" s="62" t="s">
        <v>20</v>
      </c>
      <c r="C18" s="8">
        <v>0</v>
      </c>
      <c r="D18" s="9">
        <v>1</v>
      </c>
      <c r="E18" s="10">
        <v>1</v>
      </c>
      <c r="F18" s="8">
        <v>5</v>
      </c>
      <c r="G18" s="10">
        <f t="shared" si="0"/>
        <v>5</v>
      </c>
      <c r="H18" s="8">
        <v>3</v>
      </c>
      <c r="I18" s="10">
        <f t="shared" si="1"/>
        <v>3</v>
      </c>
    </row>
    <row r="19" spans="2:9" x14ac:dyDescent="0.25">
      <c r="B19" s="62" t="s">
        <v>21</v>
      </c>
      <c r="C19" s="8">
        <v>0</v>
      </c>
      <c r="D19" s="9">
        <v>29</v>
      </c>
      <c r="E19" s="10">
        <v>29</v>
      </c>
      <c r="F19" s="8">
        <v>5</v>
      </c>
      <c r="G19" s="10">
        <f t="shared" si="0"/>
        <v>5</v>
      </c>
      <c r="H19" s="8">
        <v>4</v>
      </c>
      <c r="I19" s="10">
        <f t="shared" si="1"/>
        <v>3</v>
      </c>
    </row>
    <row r="20" spans="2:9" x14ac:dyDescent="0.25">
      <c r="B20" s="62" t="s">
        <v>22</v>
      </c>
      <c r="C20" s="8">
        <v>0</v>
      </c>
      <c r="D20" s="9">
        <v>0</v>
      </c>
      <c r="E20" s="10">
        <v>0</v>
      </c>
      <c r="F20" s="8">
        <v>4</v>
      </c>
      <c r="G20" s="10">
        <f t="shared" si="0"/>
        <v>4</v>
      </c>
      <c r="H20" s="8">
        <v>2</v>
      </c>
      <c r="I20" s="10">
        <f t="shared" si="1"/>
        <v>4</v>
      </c>
    </row>
    <row r="21" spans="2:9" x14ac:dyDescent="0.25">
      <c r="B21" s="62" t="s">
        <v>15</v>
      </c>
      <c r="C21" s="8">
        <v>0</v>
      </c>
      <c r="D21" s="9">
        <v>8</v>
      </c>
      <c r="E21" s="10">
        <v>8</v>
      </c>
      <c r="F21" s="8">
        <v>4</v>
      </c>
      <c r="G21" s="10">
        <f t="shared" si="0"/>
        <v>4</v>
      </c>
      <c r="H21" s="8">
        <v>4</v>
      </c>
      <c r="I21" s="10">
        <f t="shared" si="1"/>
        <v>1</v>
      </c>
    </row>
    <row r="22" spans="2:9" x14ac:dyDescent="0.25">
      <c r="B22" s="62" t="s">
        <v>18</v>
      </c>
      <c r="C22" s="8">
        <v>0</v>
      </c>
      <c r="D22" s="9">
        <v>2</v>
      </c>
      <c r="E22" s="10">
        <v>2</v>
      </c>
      <c r="F22" s="8">
        <v>1</v>
      </c>
      <c r="G22" s="10">
        <f t="shared" si="0"/>
        <v>1</v>
      </c>
      <c r="H22" s="8">
        <v>0</v>
      </c>
      <c r="I22" s="10">
        <f t="shared" si="1"/>
        <v>2</v>
      </c>
    </row>
    <row r="23" spans="2:9" ht="15.75" thickBot="1" x14ac:dyDescent="0.3">
      <c r="B23" s="64" t="s">
        <v>23</v>
      </c>
      <c r="C23" s="11">
        <v>0</v>
      </c>
      <c r="D23" s="12">
        <v>12</v>
      </c>
      <c r="E23" s="13">
        <v>12</v>
      </c>
      <c r="F23" s="14">
        <v>0</v>
      </c>
      <c r="G23" s="15">
        <f t="shared" si="0"/>
        <v>0</v>
      </c>
      <c r="H23" s="14">
        <v>1</v>
      </c>
      <c r="I23" s="15">
        <f t="shared" si="1"/>
        <v>0</v>
      </c>
    </row>
    <row r="24" spans="2:9" ht="15.75" thickBot="1" x14ac:dyDescent="0.3">
      <c r="B24" s="65" t="s">
        <v>3</v>
      </c>
      <c r="C24" s="66">
        <v>0</v>
      </c>
      <c r="D24" s="66">
        <v>433</v>
      </c>
      <c r="E24" s="67">
        <v>433</v>
      </c>
      <c r="F24" s="58">
        <f>SUM(F4:F23)</f>
        <v>322</v>
      </c>
      <c r="G24" s="58">
        <f>SUM(G4:G23)</f>
        <v>322</v>
      </c>
      <c r="H24" s="16">
        <f>SUM(F30:F49)</f>
        <v>244</v>
      </c>
      <c r="I24" s="16">
        <f>SUM(I4:I23)</f>
        <v>244</v>
      </c>
    </row>
    <row r="25" spans="2:9" ht="15.75" thickTop="1" x14ac:dyDescent="0.25"/>
    <row r="27" spans="2:9" ht="15.75" thickBot="1" x14ac:dyDescent="0.3"/>
    <row r="28" spans="2:9" ht="16.5" thickTop="1" thickBot="1" x14ac:dyDescent="0.3">
      <c r="B28" s="198" t="s">
        <v>0</v>
      </c>
      <c r="C28" s="55" t="s">
        <v>61</v>
      </c>
      <c r="D28" s="55"/>
      <c r="E28" s="55"/>
      <c r="F28" s="194" t="s">
        <v>63</v>
      </c>
      <c r="G28" s="195"/>
      <c r="H28" s="196" t="s">
        <v>64</v>
      </c>
      <c r="I28" s="197"/>
    </row>
    <row r="29" spans="2:9" ht="16.5" thickTop="1" thickBot="1" x14ac:dyDescent="0.3">
      <c r="B29" s="199"/>
      <c r="C29" s="68">
        <v>2020</v>
      </c>
      <c r="D29" s="56">
        <v>2021</v>
      </c>
      <c r="E29" s="57" t="s">
        <v>3</v>
      </c>
      <c r="F29" s="58">
        <v>2022</v>
      </c>
      <c r="G29" s="59" t="s">
        <v>3</v>
      </c>
      <c r="H29" s="1">
        <v>2022</v>
      </c>
      <c r="I29" s="2" t="s">
        <v>3</v>
      </c>
    </row>
    <row r="30" spans="2:9" x14ac:dyDescent="0.25">
      <c r="B30" s="69" t="s">
        <v>5</v>
      </c>
      <c r="C30" s="19">
        <v>0</v>
      </c>
      <c r="D30" s="4">
        <v>7</v>
      </c>
      <c r="E30" s="5">
        <v>7</v>
      </c>
      <c r="F30" s="6">
        <v>38</v>
      </c>
      <c r="G30" s="7">
        <f t="shared" ref="G30:G49" si="2">F30</f>
        <v>38</v>
      </c>
      <c r="H30" s="6">
        <v>40</v>
      </c>
      <c r="I30" s="7">
        <f t="shared" ref="I30:I49" si="3">+H30</f>
        <v>40</v>
      </c>
    </row>
    <row r="31" spans="2:9" x14ac:dyDescent="0.25">
      <c r="B31" s="70" t="s">
        <v>6</v>
      </c>
      <c r="C31" s="20">
        <v>0</v>
      </c>
      <c r="D31" s="9">
        <v>44</v>
      </c>
      <c r="E31" s="10">
        <v>44</v>
      </c>
      <c r="F31" s="8">
        <v>32</v>
      </c>
      <c r="G31" s="7">
        <f t="shared" si="2"/>
        <v>32</v>
      </c>
      <c r="H31" s="8">
        <v>31</v>
      </c>
      <c r="I31" s="10">
        <f t="shared" si="3"/>
        <v>31</v>
      </c>
    </row>
    <row r="32" spans="2:9" x14ac:dyDescent="0.25">
      <c r="B32" s="71" t="s">
        <v>4</v>
      </c>
      <c r="C32" s="20">
        <v>0</v>
      </c>
      <c r="D32" s="9">
        <v>20</v>
      </c>
      <c r="E32" s="10">
        <v>20</v>
      </c>
      <c r="F32" s="8">
        <v>35</v>
      </c>
      <c r="G32" s="7">
        <f t="shared" si="2"/>
        <v>35</v>
      </c>
      <c r="H32" s="8">
        <v>25</v>
      </c>
      <c r="I32" s="10">
        <f t="shared" si="3"/>
        <v>25</v>
      </c>
    </row>
    <row r="33" spans="2:9" x14ac:dyDescent="0.25">
      <c r="B33" s="70" t="s">
        <v>13</v>
      </c>
      <c r="C33" s="20">
        <v>0</v>
      </c>
      <c r="D33" s="9">
        <v>117</v>
      </c>
      <c r="E33" s="10">
        <v>117</v>
      </c>
      <c r="F33" s="8">
        <v>28</v>
      </c>
      <c r="G33" s="7">
        <f t="shared" si="2"/>
        <v>28</v>
      </c>
      <c r="H33" s="8">
        <v>15</v>
      </c>
      <c r="I33" s="10">
        <f t="shared" si="3"/>
        <v>15</v>
      </c>
    </row>
    <row r="34" spans="2:9" x14ac:dyDescent="0.25">
      <c r="B34" s="71" t="s">
        <v>12</v>
      </c>
      <c r="C34" s="20">
        <v>0</v>
      </c>
      <c r="D34" s="9">
        <v>8</v>
      </c>
      <c r="E34" s="10">
        <v>8</v>
      </c>
      <c r="F34" s="8">
        <v>7</v>
      </c>
      <c r="G34" s="7">
        <f t="shared" si="2"/>
        <v>7</v>
      </c>
      <c r="H34" s="8">
        <v>12</v>
      </c>
      <c r="I34" s="10">
        <f t="shared" si="3"/>
        <v>12</v>
      </c>
    </row>
    <row r="35" spans="2:9" x14ac:dyDescent="0.25">
      <c r="B35" s="71" t="s">
        <v>17</v>
      </c>
      <c r="C35" s="20">
        <v>0</v>
      </c>
      <c r="D35" s="9">
        <v>3</v>
      </c>
      <c r="E35" s="10">
        <v>3</v>
      </c>
      <c r="F35" s="8">
        <v>11</v>
      </c>
      <c r="G35" s="7">
        <f t="shared" si="2"/>
        <v>11</v>
      </c>
      <c r="H35" s="8">
        <v>11</v>
      </c>
      <c r="I35" s="10">
        <f t="shared" si="3"/>
        <v>11</v>
      </c>
    </row>
    <row r="36" spans="2:9" x14ac:dyDescent="0.25">
      <c r="B36" s="71" t="s">
        <v>9</v>
      </c>
      <c r="C36" s="20">
        <v>0</v>
      </c>
      <c r="D36" s="9">
        <v>7</v>
      </c>
      <c r="E36" s="10">
        <v>7</v>
      </c>
      <c r="F36" s="8">
        <v>7</v>
      </c>
      <c r="G36" s="7">
        <f t="shared" si="2"/>
        <v>7</v>
      </c>
      <c r="H36" s="8">
        <v>9</v>
      </c>
      <c r="I36" s="10">
        <f t="shared" si="3"/>
        <v>9</v>
      </c>
    </row>
    <row r="37" spans="2:9" x14ac:dyDescent="0.25">
      <c r="B37" s="71" t="s">
        <v>19</v>
      </c>
      <c r="C37" s="20">
        <v>0</v>
      </c>
      <c r="D37" s="9">
        <v>0</v>
      </c>
      <c r="E37" s="10">
        <v>0</v>
      </c>
      <c r="F37" s="8">
        <v>25</v>
      </c>
      <c r="G37" s="7">
        <f t="shared" si="2"/>
        <v>25</v>
      </c>
      <c r="H37" s="8">
        <v>8</v>
      </c>
      <c r="I37" s="10">
        <f t="shared" si="3"/>
        <v>8</v>
      </c>
    </row>
    <row r="38" spans="2:9" x14ac:dyDescent="0.25">
      <c r="B38" s="71" t="s">
        <v>16</v>
      </c>
      <c r="C38" s="20">
        <v>0</v>
      </c>
      <c r="D38" s="9">
        <v>12</v>
      </c>
      <c r="E38" s="10">
        <v>12</v>
      </c>
      <c r="F38" s="8">
        <v>13</v>
      </c>
      <c r="G38" s="7">
        <f t="shared" si="2"/>
        <v>13</v>
      </c>
      <c r="H38" s="8">
        <v>8</v>
      </c>
      <c r="I38" s="10">
        <f t="shared" si="3"/>
        <v>8</v>
      </c>
    </row>
    <row r="39" spans="2:9" x14ac:dyDescent="0.25">
      <c r="B39" s="71" t="s">
        <v>8</v>
      </c>
      <c r="C39" s="20">
        <v>0</v>
      </c>
      <c r="D39" s="9">
        <v>19</v>
      </c>
      <c r="E39" s="10">
        <v>19</v>
      </c>
      <c r="F39" s="8">
        <v>7</v>
      </c>
      <c r="G39" s="7">
        <f t="shared" si="2"/>
        <v>7</v>
      </c>
      <c r="H39" s="8">
        <v>8</v>
      </c>
      <c r="I39" s="10">
        <f t="shared" si="3"/>
        <v>8</v>
      </c>
    </row>
    <row r="40" spans="2:9" x14ac:dyDescent="0.25">
      <c r="B40" s="71" t="s">
        <v>14</v>
      </c>
      <c r="C40" s="20">
        <v>0</v>
      </c>
      <c r="D40" s="9">
        <v>94</v>
      </c>
      <c r="E40" s="10">
        <v>94</v>
      </c>
      <c r="F40" s="8">
        <v>7</v>
      </c>
      <c r="G40" s="7">
        <f t="shared" si="2"/>
        <v>7</v>
      </c>
      <c r="H40" s="8">
        <v>5</v>
      </c>
      <c r="I40" s="10">
        <f t="shared" si="3"/>
        <v>5</v>
      </c>
    </row>
    <row r="41" spans="2:9" x14ac:dyDescent="0.25">
      <c r="B41" s="71" t="s">
        <v>15</v>
      </c>
      <c r="C41" s="20">
        <v>0</v>
      </c>
      <c r="D41" s="9">
        <v>8</v>
      </c>
      <c r="E41" s="10">
        <v>8</v>
      </c>
      <c r="F41" s="8">
        <v>4</v>
      </c>
      <c r="G41" s="7">
        <f t="shared" si="2"/>
        <v>4</v>
      </c>
      <c r="H41" s="8">
        <v>5</v>
      </c>
      <c r="I41" s="10">
        <f t="shared" si="3"/>
        <v>5</v>
      </c>
    </row>
    <row r="42" spans="2:9" x14ac:dyDescent="0.25">
      <c r="B42" s="71" t="s">
        <v>10</v>
      </c>
      <c r="C42" s="20">
        <v>0</v>
      </c>
      <c r="D42" s="9">
        <v>12</v>
      </c>
      <c r="E42" s="10">
        <v>12</v>
      </c>
      <c r="F42" s="8">
        <v>13</v>
      </c>
      <c r="G42" s="7">
        <f t="shared" si="2"/>
        <v>13</v>
      </c>
      <c r="H42" s="8">
        <v>4</v>
      </c>
      <c r="I42" s="10">
        <f t="shared" si="3"/>
        <v>4</v>
      </c>
    </row>
    <row r="43" spans="2:9" x14ac:dyDescent="0.25">
      <c r="B43" s="71" t="s">
        <v>7</v>
      </c>
      <c r="C43" s="20">
        <v>0</v>
      </c>
      <c r="D43" s="9">
        <v>29</v>
      </c>
      <c r="E43" s="10">
        <v>29</v>
      </c>
      <c r="F43" s="8">
        <v>4</v>
      </c>
      <c r="G43" s="7">
        <f t="shared" si="2"/>
        <v>4</v>
      </c>
      <c r="H43" s="8">
        <v>4</v>
      </c>
      <c r="I43" s="10">
        <f t="shared" si="3"/>
        <v>4</v>
      </c>
    </row>
    <row r="44" spans="2:9" x14ac:dyDescent="0.25">
      <c r="B44" s="71" t="s">
        <v>11</v>
      </c>
      <c r="C44" s="20">
        <v>0</v>
      </c>
      <c r="D44" s="9">
        <v>9</v>
      </c>
      <c r="E44" s="10">
        <v>9</v>
      </c>
      <c r="F44" s="8">
        <v>3</v>
      </c>
      <c r="G44" s="7">
        <f t="shared" si="2"/>
        <v>3</v>
      </c>
      <c r="H44" s="8">
        <v>3</v>
      </c>
      <c r="I44" s="10">
        <f t="shared" si="3"/>
        <v>3</v>
      </c>
    </row>
    <row r="45" spans="2:9" x14ac:dyDescent="0.25">
      <c r="B45" s="71" t="s">
        <v>20</v>
      </c>
      <c r="C45" s="20">
        <v>0</v>
      </c>
      <c r="D45" s="9">
        <v>1</v>
      </c>
      <c r="E45" s="10">
        <v>1</v>
      </c>
      <c r="F45" s="8">
        <v>3</v>
      </c>
      <c r="G45" s="7">
        <f t="shared" si="2"/>
        <v>3</v>
      </c>
      <c r="H45" s="8">
        <v>3</v>
      </c>
      <c r="I45" s="10">
        <f t="shared" si="3"/>
        <v>3</v>
      </c>
    </row>
    <row r="46" spans="2:9" x14ac:dyDescent="0.25">
      <c r="B46" s="71" t="s">
        <v>21</v>
      </c>
      <c r="C46" s="20">
        <v>0</v>
      </c>
      <c r="D46" s="9">
        <v>29</v>
      </c>
      <c r="E46" s="10">
        <v>29</v>
      </c>
      <c r="F46" s="8">
        <v>4</v>
      </c>
      <c r="G46" s="7">
        <f t="shared" si="2"/>
        <v>4</v>
      </c>
      <c r="H46" s="8">
        <v>2</v>
      </c>
      <c r="I46" s="10">
        <f t="shared" si="3"/>
        <v>2</v>
      </c>
    </row>
    <row r="47" spans="2:9" x14ac:dyDescent="0.25">
      <c r="B47" s="71" t="s">
        <v>23</v>
      </c>
      <c r="C47" s="20">
        <v>0</v>
      </c>
      <c r="D47" s="9">
        <v>12</v>
      </c>
      <c r="E47" s="10">
        <v>12</v>
      </c>
      <c r="F47" s="8">
        <v>1</v>
      </c>
      <c r="G47" s="7">
        <f t="shared" si="2"/>
        <v>1</v>
      </c>
      <c r="H47" s="8">
        <v>1</v>
      </c>
      <c r="I47" s="10">
        <f t="shared" si="3"/>
        <v>1</v>
      </c>
    </row>
    <row r="48" spans="2:9" x14ac:dyDescent="0.25">
      <c r="B48" s="71" t="s">
        <v>22</v>
      </c>
      <c r="C48" s="20">
        <v>0</v>
      </c>
      <c r="D48" s="9">
        <v>0</v>
      </c>
      <c r="E48" s="10">
        <v>0</v>
      </c>
      <c r="F48" s="8">
        <v>2</v>
      </c>
      <c r="G48" s="7">
        <f t="shared" si="2"/>
        <v>2</v>
      </c>
      <c r="H48" s="8">
        <v>0</v>
      </c>
      <c r="I48" s="10">
        <f t="shared" si="3"/>
        <v>0</v>
      </c>
    </row>
    <row r="49" spans="2:9" ht="15.75" thickBot="1" x14ac:dyDescent="0.3">
      <c r="B49" s="72" t="s">
        <v>18</v>
      </c>
      <c r="C49" s="21">
        <v>0</v>
      </c>
      <c r="D49" s="12">
        <v>2</v>
      </c>
      <c r="E49" s="13">
        <v>2</v>
      </c>
      <c r="F49" s="14">
        <v>0</v>
      </c>
      <c r="G49" s="7">
        <f t="shared" si="2"/>
        <v>0</v>
      </c>
      <c r="H49" s="14">
        <v>0</v>
      </c>
      <c r="I49" s="15">
        <f t="shared" si="3"/>
        <v>0</v>
      </c>
    </row>
    <row r="50" spans="2:9" ht="15.75" thickBot="1" x14ac:dyDescent="0.3">
      <c r="B50" s="65" t="s">
        <v>3</v>
      </c>
      <c r="C50" s="66">
        <v>0</v>
      </c>
      <c r="D50" s="66">
        <v>433</v>
      </c>
      <c r="E50" s="67">
        <v>433</v>
      </c>
      <c r="F50" s="58">
        <f>SUM(F30:F49)</f>
        <v>244</v>
      </c>
      <c r="G50" s="58">
        <f>SUM(G30:G49)</f>
        <v>244</v>
      </c>
      <c r="H50" s="16">
        <f>SUM(H30:H49)</f>
        <v>194</v>
      </c>
      <c r="I50" s="16">
        <f>SUM(I30:I49)</f>
        <v>194</v>
      </c>
    </row>
    <row r="51" spans="2:9" ht="15.75" thickTop="1" x14ac:dyDescent="0.25"/>
    <row r="52" spans="2:9" ht="15.75" thickBot="1" x14ac:dyDescent="0.3"/>
    <row r="53" spans="2:9" ht="16.5" thickTop="1" thickBot="1" x14ac:dyDescent="0.3">
      <c r="B53" s="198" t="s">
        <v>0</v>
      </c>
      <c r="C53" s="55" t="s">
        <v>61</v>
      </c>
      <c r="D53" s="55"/>
      <c r="E53" s="55"/>
      <c r="F53" s="194" t="s">
        <v>64</v>
      </c>
      <c r="G53" s="195"/>
      <c r="H53" s="196" t="s">
        <v>65</v>
      </c>
      <c r="I53" s="197"/>
    </row>
    <row r="54" spans="2:9" ht="16.5" thickTop="1" thickBot="1" x14ac:dyDescent="0.3">
      <c r="B54" s="199"/>
      <c r="C54" s="68">
        <v>2020</v>
      </c>
      <c r="D54" s="56">
        <v>2021</v>
      </c>
      <c r="E54" s="57" t="s">
        <v>3</v>
      </c>
      <c r="F54" s="58">
        <v>2022</v>
      </c>
      <c r="G54" s="59" t="s">
        <v>3</v>
      </c>
      <c r="H54" s="1">
        <v>2022</v>
      </c>
      <c r="I54" s="2" t="s">
        <v>3</v>
      </c>
    </row>
    <row r="55" spans="2:9" x14ac:dyDescent="0.25">
      <c r="B55" s="69" t="s">
        <v>5</v>
      </c>
      <c r="C55" s="19">
        <v>0</v>
      </c>
      <c r="D55" s="4">
        <v>7</v>
      </c>
      <c r="E55" s="5">
        <v>7</v>
      </c>
      <c r="F55" s="6">
        <v>40</v>
      </c>
      <c r="G55" s="7">
        <f t="shared" ref="G55:G74" si="4">F55</f>
        <v>40</v>
      </c>
      <c r="H55" s="6">
        <v>36</v>
      </c>
      <c r="I55" s="7">
        <f t="shared" ref="I55:I74" si="5">+H55</f>
        <v>36</v>
      </c>
    </row>
    <row r="56" spans="2:9" x14ac:dyDescent="0.25">
      <c r="B56" s="70" t="s">
        <v>6</v>
      </c>
      <c r="C56" s="20">
        <v>0</v>
      </c>
      <c r="D56" s="9">
        <v>44</v>
      </c>
      <c r="E56" s="10">
        <v>44</v>
      </c>
      <c r="F56" s="8">
        <v>31</v>
      </c>
      <c r="G56" s="7">
        <f t="shared" si="4"/>
        <v>31</v>
      </c>
      <c r="H56" s="8">
        <v>32</v>
      </c>
      <c r="I56" s="10">
        <f t="shared" si="5"/>
        <v>32</v>
      </c>
    </row>
    <row r="57" spans="2:9" x14ac:dyDescent="0.25">
      <c r="B57" s="71" t="s">
        <v>4</v>
      </c>
      <c r="C57" s="20">
        <v>0</v>
      </c>
      <c r="D57" s="9">
        <v>20</v>
      </c>
      <c r="E57" s="10">
        <v>20</v>
      </c>
      <c r="F57" s="8">
        <v>25</v>
      </c>
      <c r="G57" s="7">
        <f t="shared" si="4"/>
        <v>25</v>
      </c>
      <c r="H57" s="8">
        <v>20</v>
      </c>
      <c r="I57" s="10">
        <f t="shared" si="5"/>
        <v>20</v>
      </c>
    </row>
    <row r="58" spans="2:9" x14ac:dyDescent="0.25">
      <c r="B58" s="70" t="s">
        <v>12</v>
      </c>
      <c r="C58" s="20">
        <v>0</v>
      </c>
      <c r="D58" s="9">
        <v>8</v>
      </c>
      <c r="E58" s="10">
        <v>8</v>
      </c>
      <c r="F58" s="8">
        <v>12</v>
      </c>
      <c r="G58" s="7">
        <f t="shared" si="4"/>
        <v>12</v>
      </c>
      <c r="H58" s="8">
        <v>12</v>
      </c>
      <c r="I58" s="10">
        <f t="shared" si="5"/>
        <v>12</v>
      </c>
    </row>
    <row r="59" spans="2:9" x14ac:dyDescent="0.25">
      <c r="B59" s="71" t="s">
        <v>13</v>
      </c>
      <c r="C59" s="20">
        <v>0</v>
      </c>
      <c r="D59" s="9">
        <v>117</v>
      </c>
      <c r="E59" s="10">
        <v>117</v>
      </c>
      <c r="F59" s="8">
        <v>15</v>
      </c>
      <c r="G59" s="7">
        <f t="shared" si="4"/>
        <v>15</v>
      </c>
      <c r="H59" s="8">
        <v>9</v>
      </c>
      <c r="I59" s="10">
        <f t="shared" si="5"/>
        <v>9</v>
      </c>
    </row>
    <row r="60" spans="2:9" x14ac:dyDescent="0.25">
      <c r="B60" s="71" t="s">
        <v>19</v>
      </c>
      <c r="C60" s="20">
        <v>0</v>
      </c>
      <c r="D60" s="9">
        <v>0</v>
      </c>
      <c r="E60" s="10">
        <v>0</v>
      </c>
      <c r="F60" s="8">
        <v>8</v>
      </c>
      <c r="G60" s="7">
        <f t="shared" si="4"/>
        <v>8</v>
      </c>
      <c r="H60" s="8">
        <v>9</v>
      </c>
      <c r="I60" s="10">
        <f t="shared" si="5"/>
        <v>9</v>
      </c>
    </row>
    <row r="61" spans="2:9" x14ac:dyDescent="0.25">
      <c r="B61" s="71" t="s">
        <v>16</v>
      </c>
      <c r="C61" s="20">
        <v>0</v>
      </c>
      <c r="D61" s="9">
        <v>12</v>
      </c>
      <c r="E61" s="10">
        <v>12</v>
      </c>
      <c r="F61" s="8">
        <v>8</v>
      </c>
      <c r="G61" s="7">
        <f t="shared" si="4"/>
        <v>8</v>
      </c>
      <c r="H61" s="8">
        <v>9</v>
      </c>
      <c r="I61" s="10">
        <f t="shared" si="5"/>
        <v>9</v>
      </c>
    </row>
    <row r="62" spans="2:9" x14ac:dyDescent="0.25">
      <c r="B62" s="71" t="s">
        <v>9</v>
      </c>
      <c r="C62" s="20">
        <v>0</v>
      </c>
      <c r="D62" s="9">
        <v>7</v>
      </c>
      <c r="E62" s="10">
        <v>7</v>
      </c>
      <c r="F62" s="8">
        <v>9</v>
      </c>
      <c r="G62" s="7">
        <f t="shared" si="4"/>
        <v>9</v>
      </c>
      <c r="H62" s="8">
        <v>7</v>
      </c>
      <c r="I62" s="10">
        <f t="shared" si="5"/>
        <v>7</v>
      </c>
    </row>
    <row r="63" spans="2:9" x14ac:dyDescent="0.25">
      <c r="B63" s="71" t="s">
        <v>7</v>
      </c>
      <c r="C63" s="20">
        <v>0</v>
      </c>
      <c r="D63" s="9">
        <v>29</v>
      </c>
      <c r="E63" s="10">
        <v>29</v>
      </c>
      <c r="F63" s="8">
        <v>4</v>
      </c>
      <c r="G63" s="7">
        <f t="shared" si="4"/>
        <v>4</v>
      </c>
      <c r="H63" s="8">
        <v>6</v>
      </c>
      <c r="I63" s="10">
        <f t="shared" si="5"/>
        <v>6</v>
      </c>
    </row>
    <row r="64" spans="2:9" x14ac:dyDescent="0.25">
      <c r="B64" s="71" t="s">
        <v>8</v>
      </c>
      <c r="C64" s="20">
        <v>0</v>
      </c>
      <c r="D64" s="9">
        <v>19</v>
      </c>
      <c r="E64" s="10">
        <v>19</v>
      </c>
      <c r="F64" s="8">
        <v>8</v>
      </c>
      <c r="G64" s="7">
        <f t="shared" si="4"/>
        <v>8</v>
      </c>
      <c r="H64" s="8">
        <v>5</v>
      </c>
      <c r="I64" s="10">
        <f t="shared" si="5"/>
        <v>5</v>
      </c>
    </row>
    <row r="65" spans="2:9" x14ac:dyDescent="0.25">
      <c r="B65" s="71" t="s">
        <v>14</v>
      </c>
      <c r="C65" s="20">
        <v>0</v>
      </c>
      <c r="D65" s="9">
        <v>94</v>
      </c>
      <c r="E65" s="10">
        <v>94</v>
      </c>
      <c r="F65" s="8">
        <v>5</v>
      </c>
      <c r="G65" s="7">
        <f t="shared" si="4"/>
        <v>5</v>
      </c>
      <c r="H65" s="8">
        <v>5</v>
      </c>
      <c r="I65" s="10">
        <f t="shared" si="5"/>
        <v>5</v>
      </c>
    </row>
    <row r="66" spans="2:9" x14ac:dyDescent="0.25">
      <c r="B66" s="71" t="s">
        <v>11</v>
      </c>
      <c r="C66" s="20">
        <v>0</v>
      </c>
      <c r="D66" s="9">
        <v>9</v>
      </c>
      <c r="E66" s="10">
        <v>9</v>
      </c>
      <c r="F66" s="8">
        <v>3</v>
      </c>
      <c r="G66" s="7">
        <f t="shared" si="4"/>
        <v>3</v>
      </c>
      <c r="H66" s="8">
        <v>4</v>
      </c>
      <c r="I66" s="10">
        <f t="shared" si="5"/>
        <v>4</v>
      </c>
    </row>
    <row r="67" spans="2:9" x14ac:dyDescent="0.25">
      <c r="B67" s="71" t="s">
        <v>17</v>
      </c>
      <c r="C67" s="20">
        <v>0</v>
      </c>
      <c r="D67" s="9">
        <v>3</v>
      </c>
      <c r="E67" s="10">
        <v>3</v>
      </c>
      <c r="F67" s="8">
        <v>11</v>
      </c>
      <c r="G67" s="7">
        <f t="shared" si="4"/>
        <v>11</v>
      </c>
      <c r="H67" s="8">
        <v>3</v>
      </c>
      <c r="I67" s="10">
        <f t="shared" si="5"/>
        <v>3</v>
      </c>
    </row>
    <row r="68" spans="2:9" x14ac:dyDescent="0.25">
      <c r="B68" s="71" t="s">
        <v>10</v>
      </c>
      <c r="C68" s="20">
        <v>0</v>
      </c>
      <c r="D68" s="9">
        <v>12</v>
      </c>
      <c r="E68" s="10">
        <v>12</v>
      </c>
      <c r="F68" s="8">
        <v>4</v>
      </c>
      <c r="G68" s="7">
        <f t="shared" si="4"/>
        <v>4</v>
      </c>
      <c r="H68" s="8">
        <v>3</v>
      </c>
      <c r="I68" s="10">
        <f t="shared" si="5"/>
        <v>3</v>
      </c>
    </row>
    <row r="69" spans="2:9" x14ac:dyDescent="0.25">
      <c r="B69" s="71" t="s">
        <v>15</v>
      </c>
      <c r="C69" s="20">
        <v>0</v>
      </c>
      <c r="D69" s="9">
        <v>8</v>
      </c>
      <c r="E69" s="10">
        <v>8</v>
      </c>
      <c r="F69" s="8">
        <v>5</v>
      </c>
      <c r="G69" s="7">
        <f t="shared" si="4"/>
        <v>5</v>
      </c>
      <c r="H69" s="8">
        <v>2</v>
      </c>
      <c r="I69" s="10">
        <f t="shared" si="5"/>
        <v>2</v>
      </c>
    </row>
    <row r="70" spans="2:9" x14ac:dyDescent="0.25">
      <c r="B70" s="71" t="s">
        <v>21</v>
      </c>
      <c r="C70" s="20">
        <v>0</v>
      </c>
      <c r="D70" s="9">
        <v>29</v>
      </c>
      <c r="E70" s="10">
        <v>29</v>
      </c>
      <c r="F70" s="8">
        <v>2</v>
      </c>
      <c r="G70" s="7">
        <f t="shared" si="4"/>
        <v>2</v>
      </c>
      <c r="H70" s="8">
        <v>2</v>
      </c>
      <c r="I70" s="10">
        <f t="shared" si="5"/>
        <v>2</v>
      </c>
    </row>
    <row r="71" spans="2:9" x14ac:dyDescent="0.25">
      <c r="B71" s="71" t="s">
        <v>20</v>
      </c>
      <c r="C71" s="20">
        <v>0</v>
      </c>
      <c r="D71" s="9">
        <v>1</v>
      </c>
      <c r="E71" s="10">
        <v>1</v>
      </c>
      <c r="F71" s="8">
        <v>3</v>
      </c>
      <c r="G71" s="7">
        <f t="shared" si="4"/>
        <v>3</v>
      </c>
      <c r="H71" s="8">
        <v>1</v>
      </c>
      <c r="I71" s="10">
        <f t="shared" si="5"/>
        <v>1</v>
      </c>
    </row>
    <row r="72" spans="2:9" x14ac:dyDescent="0.25">
      <c r="B72" s="71" t="s">
        <v>22</v>
      </c>
      <c r="C72" s="20">
        <v>0</v>
      </c>
      <c r="D72" s="9">
        <v>0</v>
      </c>
      <c r="E72" s="10">
        <v>0</v>
      </c>
      <c r="F72" s="8">
        <v>0</v>
      </c>
      <c r="G72" s="7">
        <f t="shared" si="4"/>
        <v>0</v>
      </c>
      <c r="H72" s="8">
        <v>1</v>
      </c>
      <c r="I72" s="10">
        <f t="shared" si="5"/>
        <v>1</v>
      </c>
    </row>
    <row r="73" spans="2:9" x14ac:dyDescent="0.25">
      <c r="B73" s="71" t="s">
        <v>23</v>
      </c>
      <c r="C73" s="20">
        <v>0</v>
      </c>
      <c r="D73" s="9">
        <v>12</v>
      </c>
      <c r="E73" s="10">
        <v>12</v>
      </c>
      <c r="F73" s="8">
        <v>1</v>
      </c>
      <c r="G73" s="7">
        <f t="shared" si="4"/>
        <v>1</v>
      </c>
      <c r="H73" s="8">
        <v>0</v>
      </c>
      <c r="I73" s="10">
        <f t="shared" si="5"/>
        <v>0</v>
      </c>
    </row>
    <row r="74" spans="2:9" ht="15.75" thickBot="1" x14ac:dyDescent="0.3">
      <c r="B74" s="72" t="s">
        <v>18</v>
      </c>
      <c r="C74" s="21">
        <v>0</v>
      </c>
      <c r="D74" s="12">
        <v>2</v>
      </c>
      <c r="E74" s="13">
        <v>2</v>
      </c>
      <c r="F74" s="14">
        <v>0</v>
      </c>
      <c r="G74" s="7">
        <f t="shared" si="4"/>
        <v>0</v>
      </c>
      <c r="H74" s="14">
        <v>0</v>
      </c>
      <c r="I74" s="15">
        <f t="shared" si="5"/>
        <v>0</v>
      </c>
    </row>
    <row r="75" spans="2:9" ht="15.75" thickBot="1" x14ac:dyDescent="0.3">
      <c r="B75" s="65" t="s">
        <v>3</v>
      </c>
      <c r="C75" s="66">
        <v>0</v>
      </c>
      <c r="D75" s="66">
        <v>433</v>
      </c>
      <c r="E75" s="67">
        <v>433</v>
      </c>
      <c r="F75" s="58">
        <f>SUM(F55:F74)</f>
        <v>194</v>
      </c>
      <c r="G75" s="58">
        <f>SUM(G55:G74)</f>
        <v>194</v>
      </c>
      <c r="H75" s="16">
        <f>SUM(H55:H74)</f>
        <v>166</v>
      </c>
      <c r="I75" s="16">
        <f>SUM(I55:I74)</f>
        <v>166</v>
      </c>
    </row>
    <row r="76" spans="2:9" ht="15.75" thickTop="1" x14ac:dyDescent="0.25"/>
    <row r="78" spans="2:9" ht="15.75" thickBot="1" x14ac:dyDescent="0.3"/>
    <row r="79" spans="2:9" ht="16.5" thickTop="1" thickBot="1" x14ac:dyDescent="0.3">
      <c r="B79" s="198" t="s">
        <v>0</v>
      </c>
      <c r="C79" s="55" t="s">
        <v>61</v>
      </c>
      <c r="D79" s="55"/>
      <c r="E79" s="55"/>
      <c r="F79" s="194" t="s">
        <v>65</v>
      </c>
      <c r="G79" s="195"/>
      <c r="H79" s="196" t="s">
        <v>66</v>
      </c>
      <c r="I79" s="197"/>
    </row>
    <row r="80" spans="2:9" ht="16.5" thickTop="1" thickBot="1" x14ac:dyDescent="0.3">
      <c r="B80" s="199"/>
      <c r="C80" s="68">
        <v>2020</v>
      </c>
      <c r="D80" s="56">
        <v>2021</v>
      </c>
      <c r="E80" s="57" t="s">
        <v>3</v>
      </c>
      <c r="F80" s="58" t="s">
        <v>67</v>
      </c>
      <c r="G80" s="59" t="s">
        <v>3</v>
      </c>
      <c r="H80" s="1" t="s">
        <v>67</v>
      </c>
      <c r="I80" s="2" t="s">
        <v>3</v>
      </c>
    </row>
    <row r="81" spans="2:9" x14ac:dyDescent="0.25">
      <c r="B81" s="69" t="s">
        <v>5</v>
      </c>
      <c r="C81" s="19">
        <v>0</v>
      </c>
      <c r="D81" s="4">
        <v>7</v>
      </c>
      <c r="E81" s="5">
        <v>7</v>
      </c>
      <c r="F81" s="6">
        <v>36</v>
      </c>
      <c r="G81" s="7">
        <f t="shared" ref="G81:G100" si="6">F81</f>
        <v>36</v>
      </c>
      <c r="H81" s="6">
        <v>37</v>
      </c>
      <c r="I81" s="7">
        <f t="shared" ref="I81:I100" si="7">+H81</f>
        <v>37</v>
      </c>
    </row>
    <row r="82" spans="2:9" x14ac:dyDescent="0.25">
      <c r="B82" s="70" t="s">
        <v>6</v>
      </c>
      <c r="C82" s="20">
        <v>0</v>
      </c>
      <c r="D82" s="9">
        <v>44</v>
      </c>
      <c r="E82" s="10">
        <v>44</v>
      </c>
      <c r="F82" s="8">
        <v>32</v>
      </c>
      <c r="G82" s="7">
        <f t="shared" si="6"/>
        <v>32</v>
      </c>
      <c r="H82" s="8">
        <v>24</v>
      </c>
      <c r="I82" s="10">
        <f t="shared" si="7"/>
        <v>24</v>
      </c>
    </row>
    <row r="83" spans="2:9" x14ac:dyDescent="0.25">
      <c r="B83" s="71" t="s">
        <v>4</v>
      </c>
      <c r="C83" s="20">
        <v>0</v>
      </c>
      <c r="D83" s="9">
        <v>20</v>
      </c>
      <c r="E83" s="10">
        <v>20</v>
      </c>
      <c r="F83" s="8">
        <v>20</v>
      </c>
      <c r="G83" s="7">
        <f t="shared" si="6"/>
        <v>20</v>
      </c>
      <c r="H83" s="8">
        <v>19</v>
      </c>
      <c r="I83" s="10">
        <f t="shared" si="7"/>
        <v>19</v>
      </c>
    </row>
    <row r="84" spans="2:9" x14ac:dyDescent="0.25">
      <c r="B84" s="70" t="s">
        <v>12</v>
      </c>
      <c r="C84" s="20">
        <v>0</v>
      </c>
      <c r="D84" s="9">
        <v>8</v>
      </c>
      <c r="E84" s="10">
        <v>8</v>
      </c>
      <c r="F84" s="8">
        <v>12</v>
      </c>
      <c r="G84" s="7">
        <f t="shared" si="6"/>
        <v>12</v>
      </c>
      <c r="H84" s="8">
        <v>12</v>
      </c>
      <c r="I84" s="10">
        <f t="shared" si="7"/>
        <v>12</v>
      </c>
    </row>
    <row r="85" spans="2:9" x14ac:dyDescent="0.25">
      <c r="B85" s="71" t="s">
        <v>16</v>
      </c>
      <c r="C85" s="20">
        <v>0</v>
      </c>
      <c r="D85" s="9">
        <v>12</v>
      </c>
      <c r="E85" s="10">
        <v>12</v>
      </c>
      <c r="F85" s="8">
        <v>9</v>
      </c>
      <c r="G85" s="7">
        <f t="shared" si="6"/>
        <v>9</v>
      </c>
      <c r="H85" s="8">
        <v>9</v>
      </c>
      <c r="I85" s="10">
        <f t="shared" si="7"/>
        <v>9</v>
      </c>
    </row>
    <row r="86" spans="2:9" x14ac:dyDescent="0.25">
      <c r="B86" s="71" t="s">
        <v>9</v>
      </c>
      <c r="C86" s="20">
        <v>0</v>
      </c>
      <c r="D86" s="9">
        <v>7</v>
      </c>
      <c r="E86" s="10">
        <v>7</v>
      </c>
      <c r="F86" s="8">
        <v>7</v>
      </c>
      <c r="G86" s="7">
        <f t="shared" si="6"/>
        <v>7</v>
      </c>
      <c r="H86" s="8">
        <v>9</v>
      </c>
      <c r="I86" s="10">
        <f t="shared" si="7"/>
        <v>9</v>
      </c>
    </row>
    <row r="87" spans="2:9" x14ac:dyDescent="0.25">
      <c r="B87" s="71" t="s">
        <v>11</v>
      </c>
      <c r="C87" s="20">
        <v>0</v>
      </c>
      <c r="D87" s="9">
        <v>9</v>
      </c>
      <c r="E87" s="10">
        <v>9</v>
      </c>
      <c r="F87" s="8">
        <v>4</v>
      </c>
      <c r="G87" s="7">
        <f t="shared" si="6"/>
        <v>4</v>
      </c>
      <c r="H87" s="8">
        <v>7</v>
      </c>
      <c r="I87" s="10">
        <f t="shared" si="7"/>
        <v>7</v>
      </c>
    </row>
    <row r="88" spans="2:9" x14ac:dyDescent="0.25">
      <c r="B88" s="71" t="s">
        <v>8</v>
      </c>
      <c r="C88" s="20">
        <v>0</v>
      </c>
      <c r="D88" s="9">
        <v>19</v>
      </c>
      <c r="E88" s="10">
        <v>19</v>
      </c>
      <c r="F88" s="8">
        <v>5</v>
      </c>
      <c r="G88" s="7">
        <f t="shared" si="6"/>
        <v>5</v>
      </c>
      <c r="H88" s="8">
        <v>4</v>
      </c>
      <c r="I88" s="10">
        <f t="shared" si="7"/>
        <v>4</v>
      </c>
    </row>
    <row r="89" spans="2:9" x14ac:dyDescent="0.25">
      <c r="B89" s="71" t="s">
        <v>19</v>
      </c>
      <c r="C89" s="20">
        <v>0</v>
      </c>
      <c r="D89" s="9">
        <v>0</v>
      </c>
      <c r="E89" s="10">
        <v>0</v>
      </c>
      <c r="F89" s="8">
        <v>9</v>
      </c>
      <c r="G89" s="7">
        <f t="shared" si="6"/>
        <v>9</v>
      </c>
      <c r="H89" s="8">
        <v>3</v>
      </c>
      <c r="I89" s="10">
        <f t="shared" si="7"/>
        <v>3</v>
      </c>
    </row>
    <row r="90" spans="2:9" x14ac:dyDescent="0.25">
      <c r="B90" s="71" t="s">
        <v>17</v>
      </c>
      <c r="C90" s="20">
        <v>0</v>
      </c>
      <c r="D90" s="9">
        <v>3</v>
      </c>
      <c r="E90" s="10">
        <v>3</v>
      </c>
      <c r="F90" s="8">
        <v>3</v>
      </c>
      <c r="G90" s="7">
        <f t="shared" si="6"/>
        <v>3</v>
      </c>
      <c r="H90" s="8">
        <v>3</v>
      </c>
      <c r="I90" s="10">
        <f t="shared" si="7"/>
        <v>3</v>
      </c>
    </row>
    <row r="91" spans="2:9" x14ac:dyDescent="0.25">
      <c r="B91" s="71" t="s">
        <v>15</v>
      </c>
      <c r="C91" s="20">
        <v>0</v>
      </c>
      <c r="D91" s="9">
        <v>8</v>
      </c>
      <c r="E91" s="10">
        <v>8</v>
      </c>
      <c r="F91" s="8">
        <v>2</v>
      </c>
      <c r="G91" s="7">
        <f t="shared" si="6"/>
        <v>2</v>
      </c>
      <c r="H91" s="8">
        <v>3</v>
      </c>
      <c r="I91" s="10">
        <f t="shared" si="7"/>
        <v>3</v>
      </c>
    </row>
    <row r="92" spans="2:9" x14ac:dyDescent="0.25">
      <c r="B92" s="71" t="s">
        <v>7</v>
      </c>
      <c r="C92" s="20">
        <v>0</v>
      </c>
      <c r="D92" s="9">
        <v>29</v>
      </c>
      <c r="E92" s="10">
        <v>29</v>
      </c>
      <c r="F92" s="8">
        <v>6</v>
      </c>
      <c r="G92" s="7">
        <f t="shared" si="6"/>
        <v>6</v>
      </c>
      <c r="H92" s="8">
        <v>2</v>
      </c>
      <c r="I92" s="10">
        <f t="shared" si="7"/>
        <v>2</v>
      </c>
    </row>
    <row r="93" spans="2:9" x14ac:dyDescent="0.25">
      <c r="B93" s="71" t="s">
        <v>21</v>
      </c>
      <c r="C93" s="20">
        <v>0</v>
      </c>
      <c r="D93" s="9">
        <v>29</v>
      </c>
      <c r="E93" s="10">
        <v>29</v>
      </c>
      <c r="F93" s="8">
        <v>2</v>
      </c>
      <c r="G93" s="7">
        <f t="shared" si="6"/>
        <v>2</v>
      </c>
      <c r="H93" s="8">
        <v>2</v>
      </c>
      <c r="I93" s="10">
        <f t="shared" si="7"/>
        <v>2</v>
      </c>
    </row>
    <row r="94" spans="2:9" x14ac:dyDescent="0.25">
      <c r="B94" s="71" t="s">
        <v>13</v>
      </c>
      <c r="C94" s="20">
        <v>0</v>
      </c>
      <c r="D94" s="9">
        <v>117</v>
      </c>
      <c r="E94" s="10">
        <v>117</v>
      </c>
      <c r="F94" s="8">
        <v>9</v>
      </c>
      <c r="G94" s="7">
        <f t="shared" si="6"/>
        <v>9</v>
      </c>
      <c r="H94" s="8">
        <v>1</v>
      </c>
      <c r="I94" s="10">
        <f t="shared" si="7"/>
        <v>1</v>
      </c>
    </row>
    <row r="95" spans="2:9" x14ac:dyDescent="0.25">
      <c r="B95" s="71" t="s">
        <v>14</v>
      </c>
      <c r="C95" s="20">
        <v>0</v>
      </c>
      <c r="D95" s="9">
        <v>94</v>
      </c>
      <c r="E95" s="10">
        <v>94</v>
      </c>
      <c r="F95" s="8">
        <v>5</v>
      </c>
      <c r="G95" s="7">
        <f t="shared" si="6"/>
        <v>5</v>
      </c>
      <c r="H95" s="8">
        <v>1</v>
      </c>
      <c r="I95" s="10">
        <f t="shared" si="7"/>
        <v>1</v>
      </c>
    </row>
    <row r="96" spans="2:9" x14ac:dyDescent="0.25">
      <c r="B96" s="71" t="s">
        <v>10</v>
      </c>
      <c r="C96" s="20">
        <v>0</v>
      </c>
      <c r="D96" s="9">
        <v>12</v>
      </c>
      <c r="E96" s="10">
        <v>12</v>
      </c>
      <c r="F96" s="8">
        <v>3</v>
      </c>
      <c r="G96" s="7">
        <f t="shared" si="6"/>
        <v>3</v>
      </c>
      <c r="H96" s="8">
        <v>0</v>
      </c>
      <c r="I96" s="10">
        <f t="shared" si="7"/>
        <v>0</v>
      </c>
    </row>
    <row r="97" spans="2:9" x14ac:dyDescent="0.25">
      <c r="B97" s="71" t="s">
        <v>20</v>
      </c>
      <c r="C97" s="20">
        <v>0</v>
      </c>
      <c r="D97" s="9">
        <v>1</v>
      </c>
      <c r="E97" s="10">
        <v>1</v>
      </c>
      <c r="F97" s="8">
        <v>1</v>
      </c>
      <c r="G97" s="7">
        <f t="shared" si="6"/>
        <v>1</v>
      </c>
      <c r="H97" s="8">
        <v>0</v>
      </c>
      <c r="I97" s="10">
        <f t="shared" si="7"/>
        <v>0</v>
      </c>
    </row>
    <row r="98" spans="2:9" x14ac:dyDescent="0.25">
      <c r="B98" s="71" t="s">
        <v>22</v>
      </c>
      <c r="C98" s="20">
        <v>0</v>
      </c>
      <c r="D98" s="9">
        <v>0</v>
      </c>
      <c r="E98" s="10">
        <v>0</v>
      </c>
      <c r="F98" s="8">
        <v>1</v>
      </c>
      <c r="G98" s="7">
        <f t="shared" si="6"/>
        <v>1</v>
      </c>
      <c r="H98" s="8">
        <v>0</v>
      </c>
      <c r="I98" s="10">
        <f t="shared" si="7"/>
        <v>0</v>
      </c>
    </row>
    <row r="99" spans="2:9" x14ac:dyDescent="0.25">
      <c r="B99" s="71" t="s">
        <v>23</v>
      </c>
      <c r="C99" s="20">
        <v>0</v>
      </c>
      <c r="D99" s="9">
        <v>12</v>
      </c>
      <c r="E99" s="10">
        <v>12</v>
      </c>
      <c r="F99" s="8">
        <v>0</v>
      </c>
      <c r="G99" s="7">
        <f t="shared" si="6"/>
        <v>0</v>
      </c>
      <c r="H99" s="8">
        <v>0</v>
      </c>
      <c r="I99" s="10">
        <f t="shared" si="7"/>
        <v>0</v>
      </c>
    </row>
    <row r="100" spans="2:9" ht="15.75" thickBot="1" x14ac:dyDescent="0.3">
      <c r="B100" s="72" t="s">
        <v>18</v>
      </c>
      <c r="C100" s="21">
        <v>0</v>
      </c>
      <c r="D100" s="12">
        <v>2</v>
      </c>
      <c r="E100" s="13">
        <v>2</v>
      </c>
      <c r="F100" s="14">
        <v>0</v>
      </c>
      <c r="G100" s="7">
        <f t="shared" si="6"/>
        <v>0</v>
      </c>
      <c r="H100" s="14">
        <v>0</v>
      </c>
      <c r="I100" s="15">
        <f t="shared" si="7"/>
        <v>0</v>
      </c>
    </row>
    <row r="101" spans="2:9" ht="15.75" thickBot="1" x14ac:dyDescent="0.3">
      <c r="B101" s="65" t="s">
        <v>3</v>
      </c>
      <c r="C101" s="66">
        <v>0</v>
      </c>
      <c r="D101" s="66">
        <v>433</v>
      </c>
      <c r="E101" s="67">
        <v>433</v>
      </c>
      <c r="F101" s="58">
        <f>SUM(F81:F100)</f>
        <v>166</v>
      </c>
      <c r="G101" s="58">
        <f>SUM(G81:G100)</f>
        <v>166</v>
      </c>
      <c r="H101" s="16">
        <f>SUM(H81:H100)</f>
        <v>136</v>
      </c>
      <c r="I101" s="16">
        <f>SUM(I81:I100)</f>
        <v>136</v>
      </c>
    </row>
    <row r="102" spans="2:9" ht="15.75" thickTop="1" x14ac:dyDescent="0.25"/>
    <row r="103" spans="2:9" ht="15.75" thickBot="1" x14ac:dyDescent="0.3"/>
    <row r="104" spans="2:9" ht="16.5" thickTop="1" thickBot="1" x14ac:dyDescent="0.3">
      <c r="B104" s="198" t="s">
        <v>0</v>
      </c>
      <c r="C104" s="55" t="s">
        <v>61</v>
      </c>
      <c r="D104" s="55"/>
      <c r="E104" s="55"/>
      <c r="F104" s="194" t="s">
        <v>66</v>
      </c>
      <c r="G104" s="195"/>
      <c r="H104" s="196" t="s">
        <v>68</v>
      </c>
      <c r="I104" s="197"/>
    </row>
    <row r="105" spans="2:9" ht="16.5" thickTop="1" thickBot="1" x14ac:dyDescent="0.3">
      <c r="B105" s="199"/>
      <c r="C105" s="68">
        <v>2020</v>
      </c>
      <c r="D105" s="56">
        <v>2021</v>
      </c>
      <c r="E105" s="57" t="s">
        <v>3</v>
      </c>
      <c r="F105" s="58" t="s">
        <v>67</v>
      </c>
      <c r="G105" s="59" t="s">
        <v>3</v>
      </c>
      <c r="H105" s="1" t="s">
        <v>67</v>
      </c>
      <c r="I105" s="2" t="s">
        <v>3</v>
      </c>
    </row>
    <row r="106" spans="2:9" x14ac:dyDescent="0.25">
      <c r="B106" s="69" t="s">
        <v>5</v>
      </c>
      <c r="C106" s="19">
        <v>0</v>
      </c>
      <c r="D106" s="4">
        <v>7</v>
      </c>
      <c r="E106" s="5">
        <v>7</v>
      </c>
      <c r="F106" s="6">
        <v>37</v>
      </c>
      <c r="G106" s="7">
        <f t="shared" ref="G106:G125" si="8">F106</f>
        <v>37</v>
      </c>
      <c r="H106" s="6">
        <v>31</v>
      </c>
      <c r="I106" s="7">
        <f t="shared" ref="I106:I125" si="9">+H106</f>
        <v>31</v>
      </c>
    </row>
    <row r="107" spans="2:9" x14ac:dyDescent="0.25">
      <c r="B107" s="70" t="s">
        <v>6</v>
      </c>
      <c r="C107" s="20">
        <v>0</v>
      </c>
      <c r="D107" s="9">
        <v>44</v>
      </c>
      <c r="E107" s="10">
        <v>44</v>
      </c>
      <c r="F107" s="8">
        <v>24</v>
      </c>
      <c r="G107" s="7">
        <f t="shared" si="8"/>
        <v>24</v>
      </c>
      <c r="H107" s="8">
        <v>24</v>
      </c>
      <c r="I107" s="10">
        <f t="shared" si="9"/>
        <v>24</v>
      </c>
    </row>
    <row r="108" spans="2:9" x14ac:dyDescent="0.25">
      <c r="B108" s="71" t="s">
        <v>4</v>
      </c>
      <c r="C108" s="20">
        <v>0</v>
      </c>
      <c r="D108" s="9">
        <v>20</v>
      </c>
      <c r="E108" s="10">
        <v>20</v>
      </c>
      <c r="F108" s="8">
        <v>19</v>
      </c>
      <c r="G108" s="7">
        <f t="shared" si="8"/>
        <v>19</v>
      </c>
      <c r="H108" s="8">
        <v>23</v>
      </c>
      <c r="I108" s="10">
        <f t="shared" si="9"/>
        <v>23</v>
      </c>
    </row>
    <row r="109" spans="2:9" x14ac:dyDescent="0.25">
      <c r="B109" s="70" t="s">
        <v>12</v>
      </c>
      <c r="C109" s="20">
        <v>0</v>
      </c>
      <c r="D109" s="9">
        <v>8</v>
      </c>
      <c r="E109" s="10">
        <v>8</v>
      </c>
      <c r="F109" s="8">
        <v>12</v>
      </c>
      <c r="G109" s="7">
        <f t="shared" si="8"/>
        <v>12</v>
      </c>
      <c r="H109" s="8">
        <v>20</v>
      </c>
      <c r="I109" s="10">
        <f t="shared" si="9"/>
        <v>20</v>
      </c>
    </row>
    <row r="110" spans="2:9" x14ac:dyDescent="0.25">
      <c r="B110" s="71" t="s">
        <v>8</v>
      </c>
      <c r="C110" s="20">
        <v>0</v>
      </c>
      <c r="D110" s="9">
        <v>19</v>
      </c>
      <c r="E110" s="10">
        <v>19</v>
      </c>
      <c r="F110" s="8">
        <v>4</v>
      </c>
      <c r="G110" s="7">
        <f t="shared" si="8"/>
        <v>4</v>
      </c>
      <c r="H110" s="8">
        <v>10</v>
      </c>
      <c r="I110" s="10">
        <f t="shared" si="9"/>
        <v>10</v>
      </c>
    </row>
    <row r="111" spans="2:9" x14ac:dyDescent="0.25">
      <c r="B111" s="71" t="s">
        <v>10</v>
      </c>
      <c r="C111" s="20">
        <v>0</v>
      </c>
      <c r="D111" s="9">
        <v>12</v>
      </c>
      <c r="E111" s="10">
        <v>12</v>
      </c>
      <c r="F111" s="8">
        <v>0</v>
      </c>
      <c r="G111" s="7">
        <f t="shared" si="8"/>
        <v>0</v>
      </c>
      <c r="H111" s="8">
        <v>10</v>
      </c>
      <c r="I111" s="10">
        <f t="shared" si="9"/>
        <v>10</v>
      </c>
    </row>
    <row r="112" spans="2:9" x14ac:dyDescent="0.25">
      <c r="B112" s="71" t="s">
        <v>11</v>
      </c>
      <c r="C112" s="20">
        <v>0</v>
      </c>
      <c r="D112" s="9">
        <v>9</v>
      </c>
      <c r="E112" s="10">
        <v>9</v>
      </c>
      <c r="F112" s="8">
        <v>7</v>
      </c>
      <c r="G112" s="7">
        <f t="shared" si="8"/>
        <v>7</v>
      </c>
      <c r="H112" s="8">
        <v>8</v>
      </c>
      <c r="I112" s="10">
        <f t="shared" si="9"/>
        <v>8</v>
      </c>
    </row>
    <row r="113" spans="2:9" x14ac:dyDescent="0.25">
      <c r="B113" s="71" t="s">
        <v>16</v>
      </c>
      <c r="C113" s="20">
        <v>0</v>
      </c>
      <c r="D113" s="9">
        <v>12</v>
      </c>
      <c r="E113" s="10">
        <v>12</v>
      </c>
      <c r="F113" s="8">
        <v>9</v>
      </c>
      <c r="G113" s="7">
        <f t="shared" si="8"/>
        <v>9</v>
      </c>
      <c r="H113" s="8">
        <v>7</v>
      </c>
      <c r="I113" s="10">
        <f t="shared" si="9"/>
        <v>7</v>
      </c>
    </row>
    <row r="114" spans="2:9" x14ac:dyDescent="0.25">
      <c r="B114" s="71" t="s">
        <v>9</v>
      </c>
      <c r="C114" s="20">
        <v>0</v>
      </c>
      <c r="D114" s="9">
        <v>7</v>
      </c>
      <c r="E114" s="10">
        <v>7</v>
      </c>
      <c r="F114" s="8">
        <v>9</v>
      </c>
      <c r="G114" s="7">
        <f t="shared" si="8"/>
        <v>9</v>
      </c>
      <c r="H114" s="8">
        <v>7</v>
      </c>
      <c r="I114" s="10">
        <f t="shared" si="9"/>
        <v>7</v>
      </c>
    </row>
    <row r="115" spans="2:9" x14ac:dyDescent="0.25">
      <c r="B115" s="71" t="s">
        <v>7</v>
      </c>
      <c r="C115" s="20">
        <v>0</v>
      </c>
      <c r="D115" s="9">
        <v>29</v>
      </c>
      <c r="E115" s="10">
        <v>29</v>
      </c>
      <c r="F115" s="8">
        <v>2</v>
      </c>
      <c r="G115" s="7">
        <f t="shared" si="8"/>
        <v>2</v>
      </c>
      <c r="H115" s="8">
        <v>6</v>
      </c>
      <c r="I115" s="10">
        <f t="shared" si="9"/>
        <v>6</v>
      </c>
    </row>
    <row r="116" spans="2:9" x14ac:dyDescent="0.25">
      <c r="B116" s="71" t="s">
        <v>19</v>
      </c>
      <c r="C116" s="20">
        <v>0</v>
      </c>
      <c r="D116" s="9">
        <v>0</v>
      </c>
      <c r="E116" s="10">
        <v>0</v>
      </c>
      <c r="F116" s="8">
        <v>3</v>
      </c>
      <c r="G116" s="7">
        <f t="shared" si="8"/>
        <v>3</v>
      </c>
      <c r="H116" s="8">
        <v>4</v>
      </c>
      <c r="I116" s="10">
        <f t="shared" si="9"/>
        <v>4</v>
      </c>
    </row>
    <row r="117" spans="2:9" x14ac:dyDescent="0.25">
      <c r="B117" s="71" t="s">
        <v>15</v>
      </c>
      <c r="C117" s="20">
        <v>0</v>
      </c>
      <c r="D117" s="9">
        <v>8</v>
      </c>
      <c r="E117" s="10">
        <v>8</v>
      </c>
      <c r="F117" s="8">
        <v>3</v>
      </c>
      <c r="G117" s="7">
        <f t="shared" si="8"/>
        <v>3</v>
      </c>
      <c r="H117" s="8">
        <v>4</v>
      </c>
      <c r="I117" s="10">
        <f t="shared" si="9"/>
        <v>4</v>
      </c>
    </row>
    <row r="118" spans="2:9" x14ac:dyDescent="0.25">
      <c r="B118" s="71" t="s">
        <v>17</v>
      </c>
      <c r="C118" s="20">
        <v>0</v>
      </c>
      <c r="D118" s="9">
        <v>3</v>
      </c>
      <c r="E118" s="10">
        <v>3</v>
      </c>
      <c r="F118" s="8">
        <v>3</v>
      </c>
      <c r="G118" s="7">
        <f t="shared" si="8"/>
        <v>3</v>
      </c>
      <c r="H118" s="8">
        <v>3</v>
      </c>
      <c r="I118" s="10">
        <f t="shared" si="9"/>
        <v>3</v>
      </c>
    </row>
    <row r="119" spans="2:9" x14ac:dyDescent="0.25">
      <c r="B119" s="71" t="s">
        <v>21</v>
      </c>
      <c r="C119" s="20">
        <v>0</v>
      </c>
      <c r="D119" s="9">
        <v>29</v>
      </c>
      <c r="E119" s="10">
        <v>29</v>
      </c>
      <c r="F119" s="8">
        <v>2</v>
      </c>
      <c r="G119" s="7">
        <f t="shared" si="8"/>
        <v>2</v>
      </c>
      <c r="H119" s="8">
        <v>3</v>
      </c>
      <c r="I119" s="10">
        <f t="shared" si="9"/>
        <v>3</v>
      </c>
    </row>
    <row r="120" spans="2:9" x14ac:dyDescent="0.25">
      <c r="B120" s="71" t="s">
        <v>14</v>
      </c>
      <c r="C120" s="20">
        <v>0</v>
      </c>
      <c r="D120" s="9">
        <v>94</v>
      </c>
      <c r="E120" s="10">
        <v>94</v>
      </c>
      <c r="F120" s="8">
        <v>1</v>
      </c>
      <c r="G120" s="7">
        <f t="shared" si="8"/>
        <v>1</v>
      </c>
      <c r="H120" s="8">
        <v>2</v>
      </c>
      <c r="I120" s="10">
        <f t="shared" si="9"/>
        <v>2</v>
      </c>
    </row>
    <row r="121" spans="2:9" x14ac:dyDescent="0.25">
      <c r="B121" s="71" t="s">
        <v>13</v>
      </c>
      <c r="C121" s="20">
        <v>0</v>
      </c>
      <c r="D121" s="9">
        <v>117</v>
      </c>
      <c r="E121" s="10">
        <v>117</v>
      </c>
      <c r="F121" s="8">
        <v>1</v>
      </c>
      <c r="G121" s="7">
        <f t="shared" si="8"/>
        <v>1</v>
      </c>
      <c r="H121" s="8">
        <v>1</v>
      </c>
      <c r="I121" s="10">
        <f t="shared" si="9"/>
        <v>1</v>
      </c>
    </row>
    <row r="122" spans="2:9" x14ac:dyDescent="0.25">
      <c r="B122" s="71" t="s">
        <v>23</v>
      </c>
      <c r="C122" s="20">
        <v>0</v>
      </c>
      <c r="D122" s="9">
        <v>12</v>
      </c>
      <c r="E122" s="10">
        <v>12</v>
      </c>
      <c r="F122" s="8">
        <v>0</v>
      </c>
      <c r="G122" s="7">
        <f t="shared" si="8"/>
        <v>0</v>
      </c>
      <c r="H122" s="8">
        <v>1</v>
      </c>
      <c r="I122" s="10">
        <f t="shared" si="9"/>
        <v>1</v>
      </c>
    </row>
    <row r="123" spans="2:9" x14ac:dyDescent="0.25">
      <c r="B123" s="71" t="s">
        <v>20</v>
      </c>
      <c r="C123" s="20">
        <v>0</v>
      </c>
      <c r="D123" s="9">
        <v>1</v>
      </c>
      <c r="E123" s="10">
        <v>1</v>
      </c>
      <c r="F123" s="8">
        <v>0</v>
      </c>
      <c r="G123" s="7">
        <f t="shared" si="8"/>
        <v>0</v>
      </c>
      <c r="H123" s="8">
        <v>0</v>
      </c>
      <c r="I123" s="10">
        <f t="shared" si="9"/>
        <v>0</v>
      </c>
    </row>
    <row r="124" spans="2:9" x14ac:dyDescent="0.25">
      <c r="B124" s="71" t="s">
        <v>22</v>
      </c>
      <c r="C124" s="20">
        <v>0</v>
      </c>
      <c r="D124" s="9">
        <v>0</v>
      </c>
      <c r="E124" s="10">
        <v>0</v>
      </c>
      <c r="F124" s="8">
        <v>0</v>
      </c>
      <c r="G124" s="7">
        <f t="shared" si="8"/>
        <v>0</v>
      </c>
      <c r="H124" s="8">
        <v>0</v>
      </c>
      <c r="I124" s="10">
        <f t="shared" si="9"/>
        <v>0</v>
      </c>
    </row>
    <row r="125" spans="2:9" ht="15.75" thickBot="1" x14ac:dyDescent="0.3">
      <c r="B125" s="72" t="s">
        <v>18</v>
      </c>
      <c r="C125" s="21">
        <v>0</v>
      </c>
      <c r="D125" s="12">
        <v>2</v>
      </c>
      <c r="E125" s="13">
        <v>2</v>
      </c>
      <c r="F125" s="14">
        <v>0</v>
      </c>
      <c r="G125" s="7">
        <f t="shared" si="8"/>
        <v>0</v>
      </c>
      <c r="H125" s="14">
        <v>0</v>
      </c>
      <c r="I125" s="15">
        <f t="shared" si="9"/>
        <v>0</v>
      </c>
    </row>
    <row r="126" spans="2:9" ht="15.75" thickBot="1" x14ac:dyDescent="0.3">
      <c r="B126" s="65" t="s">
        <v>3</v>
      </c>
      <c r="C126" s="66">
        <v>0</v>
      </c>
      <c r="D126" s="66">
        <v>433</v>
      </c>
      <c r="E126" s="67">
        <v>433</v>
      </c>
      <c r="F126" s="58">
        <f>SUM(F106:F125)</f>
        <v>136</v>
      </c>
      <c r="G126" s="58">
        <f>SUM(G106:G125)</f>
        <v>136</v>
      </c>
      <c r="H126" s="16">
        <f>SUM(H106:H125)</f>
        <v>164</v>
      </c>
      <c r="I126" s="16">
        <f>SUM(I106:I125)</f>
        <v>164</v>
      </c>
    </row>
    <row r="127" spans="2:9" ht="15.75" thickTop="1" x14ac:dyDescent="0.25"/>
    <row r="128" spans="2:9" ht="15.75" thickBot="1" x14ac:dyDescent="0.3"/>
    <row r="129" spans="2:9" ht="16.5" thickTop="1" thickBot="1" x14ac:dyDescent="0.3">
      <c r="B129" s="198" t="s">
        <v>0</v>
      </c>
      <c r="C129" s="55" t="s">
        <v>61</v>
      </c>
      <c r="D129" s="55"/>
      <c r="E129" s="55"/>
      <c r="F129" s="194" t="s">
        <v>69</v>
      </c>
      <c r="G129" s="195"/>
      <c r="H129" s="196" t="s">
        <v>70</v>
      </c>
      <c r="I129" s="197"/>
    </row>
    <row r="130" spans="2:9" ht="16.5" thickTop="1" thickBot="1" x14ac:dyDescent="0.3">
      <c r="B130" s="199"/>
      <c r="C130" s="68">
        <v>2020</v>
      </c>
      <c r="D130" s="56">
        <v>2021</v>
      </c>
      <c r="E130" s="57" t="s">
        <v>3</v>
      </c>
      <c r="F130" s="58" t="s">
        <v>67</v>
      </c>
      <c r="G130" s="59" t="s">
        <v>3</v>
      </c>
      <c r="H130" s="1">
        <v>2023</v>
      </c>
      <c r="I130" s="2" t="s">
        <v>3</v>
      </c>
    </row>
    <row r="131" spans="2:9" x14ac:dyDescent="0.25">
      <c r="B131" s="69" t="s">
        <v>6</v>
      </c>
      <c r="C131" s="19">
        <v>0</v>
      </c>
      <c r="D131" s="4">
        <v>44</v>
      </c>
      <c r="E131" s="5">
        <v>44</v>
      </c>
      <c r="F131" s="6">
        <v>24</v>
      </c>
      <c r="G131" s="7">
        <f t="shared" ref="G131:G150" si="10">F131</f>
        <v>24</v>
      </c>
      <c r="H131" s="6">
        <v>52</v>
      </c>
      <c r="I131" s="7">
        <f t="shared" ref="I131:I150" si="11">+H131</f>
        <v>52</v>
      </c>
    </row>
    <row r="132" spans="2:9" x14ac:dyDescent="0.25">
      <c r="B132" s="70" t="s">
        <v>4</v>
      </c>
      <c r="C132" s="20">
        <v>0</v>
      </c>
      <c r="D132" s="9">
        <v>20</v>
      </c>
      <c r="E132" s="10">
        <v>20</v>
      </c>
      <c r="F132" s="8">
        <v>23</v>
      </c>
      <c r="G132" s="7">
        <f t="shared" si="10"/>
        <v>23</v>
      </c>
      <c r="H132" s="8">
        <v>30</v>
      </c>
      <c r="I132" s="10">
        <f t="shared" si="11"/>
        <v>30</v>
      </c>
    </row>
    <row r="133" spans="2:9" x14ac:dyDescent="0.25">
      <c r="B133" s="71" t="s">
        <v>5</v>
      </c>
      <c r="C133" s="20">
        <v>0</v>
      </c>
      <c r="D133" s="9">
        <v>7</v>
      </c>
      <c r="E133" s="10">
        <v>7</v>
      </c>
      <c r="F133" s="8">
        <v>31</v>
      </c>
      <c r="G133" s="7">
        <f t="shared" si="10"/>
        <v>31</v>
      </c>
      <c r="H133" s="8">
        <v>28</v>
      </c>
      <c r="I133" s="10">
        <f t="shared" si="11"/>
        <v>28</v>
      </c>
    </row>
    <row r="134" spans="2:9" x14ac:dyDescent="0.25">
      <c r="B134" s="70" t="s">
        <v>12</v>
      </c>
      <c r="C134" s="20">
        <v>0</v>
      </c>
      <c r="D134" s="9">
        <v>8</v>
      </c>
      <c r="E134" s="10">
        <v>8</v>
      </c>
      <c r="F134" s="8">
        <v>20</v>
      </c>
      <c r="G134" s="7">
        <f t="shared" si="10"/>
        <v>20</v>
      </c>
      <c r="H134" s="8">
        <v>18</v>
      </c>
      <c r="I134" s="10">
        <f t="shared" si="11"/>
        <v>18</v>
      </c>
    </row>
    <row r="135" spans="2:9" x14ac:dyDescent="0.25">
      <c r="B135" s="71" t="s">
        <v>8</v>
      </c>
      <c r="C135" s="20">
        <v>0</v>
      </c>
      <c r="D135" s="9">
        <v>19</v>
      </c>
      <c r="E135" s="10">
        <v>19</v>
      </c>
      <c r="F135" s="8">
        <v>10</v>
      </c>
      <c r="G135" s="7">
        <f t="shared" si="10"/>
        <v>10</v>
      </c>
      <c r="H135" s="8">
        <v>18</v>
      </c>
      <c r="I135" s="10">
        <f t="shared" si="11"/>
        <v>18</v>
      </c>
    </row>
    <row r="136" spans="2:9" x14ac:dyDescent="0.25">
      <c r="B136" s="71" t="s">
        <v>10</v>
      </c>
      <c r="C136" s="20">
        <v>0</v>
      </c>
      <c r="D136" s="9">
        <v>12</v>
      </c>
      <c r="E136" s="10">
        <v>12</v>
      </c>
      <c r="F136" s="8">
        <v>10</v>
      </c>
      <c r="G136" s="7">
        <f t="shared" si="10"/>
        <v>10</v>
      </c>
      <c r="H136" s="8">
        <v>17</v>
      </c>
      <c r="I136" s="10">
        <f t="shared" si="11"/>
        <v>17</v>
      </c>
    </row>
    <row r="137" spans="2:9" x14ac:dyDescent="0.25">
      <c r="B137" s="71" t="s">
        <v>16</v>
      </c>
      <c r="C137" s="20">
        <v>0</v>
      </c>
      <c r="D137" s="9">
        <v>12</v>
      </c>
      <c r="E137" s="10">
        <v>12</v>
      </c>
      <c r="F137" s="8">
        <v>7</v>
      </c>
      <c r="G137" s="7">
        <f t="shared" si="10"/>
        <v>7</v>
      </c>
      <c r="H137" s="8">
        <v>17</v>
      </c>
      <c r="I137" s="10">
        <f t="shared" si="11"/>
        <v>17</v>
      </c>
    </row>
    <row r="138" spans="2:9" x14ac:dyDescent="0.25">
      <c r="B138" s="71" t="s">
        <v>15</v>
      </c>
      <c r="C138" s="20">
        <v>0</v>
      </c>
      <c r="D138" s="9">
        <v>8</v>
      </c>
      <c r="E138" s="10">
        <v>8</v>
      </c>
      <c r="F138" s="8">
        <v>4</v>
      </c>
      <c r="G138" s="7">
        <f t="shared" si="10"/>
        <v>4</v>
      </c>
      <c r="H138" s="8">
        <v>14</v>
      </c>
      <c r="I138" s="10">
        <f t="shared" si="11"/>
        <v>14</v>
      </c>
    </row>
    <row r="139" spans="2:9" x14ac:dyDescent="0.25">
      <c r="B139" s="71" t="s">
        <v>9</v>
      </c>
      <c r="C139" s="20">
        <v>0</v>
      </c>
      <c r="D139" s="9">
        <v>7</v>
      </c>
      <c r="E139" s="10">
        <v>7</v>
      </c>
      <c r="F139" s="8">
        <v>7</v>
      </c>
      <c r="G139" s="7">
        <f t="shared" si="10"/>
        <v>7</v>
      </c>
      <c r="H139" s="8">
        <v>13</v>
      </c>
      <c r="I139" s="10">
        <f t="shared" si="11"/>
        <v>13</v>
      </c>
    </row>
    <row r="140" spans="2:9" x14ac:dyDescent="0.25">
      <c r="B140" s="71" t="s">
        <v>19</v>
      </c>
      <c r="C140" s="20">
        <v>0</v>
      </c>
      <c r="D140" s="9">
        <v>0</v>
      </c>
      <c r="E140" s="10">
        <v>0</v>
      </c>
      <c r="F140" s="8">
        <v>4</v>
      </c>
      <c r="G140" s="7">
        <f t="shared" si="10"/>
        <v>4</v>
      </c>
      <c r="H140" s="8">
        <v>13</v>
      </c>
      <c r="I140" s="10">
        <f t="shared" si="11"/>
        <v>13</v>
      </c>
    </row>
    <row r="141" spans="2:9" x14ac:dyDescent="0.25">
      <c r="B141" s="71" t="s">
        <v>7</v>
      </c>
      <c r="C141" s="20">
        <v>0</v>
      </c>
      <c r="D141" s="9">
        <v>29</v>
      </c>
      <c r="E141" s="10">
        <v>29</v>
      </c>
      <c r="F141" s="8">
        <v>6</v>
      </c>
      <c r="G141" s="7">
        <f t="shared" si="10"/>
        <v>6</v>
      </c>
      <c r="H141" s="8">
        <v>12</v>
      </c>
      <c r="I141" s="10">
        <f t="shared" si="11"/>
        <v>12</v>
      </c>
    </row>
    <row r="142" spans="2:9" x14ac:dyDescent="0.25">
      <c r="B142" s="71" t="s">
        <v>11</v>
      </c>
      <c r="C142" s="20">
        <v>0</v>
      </c>
      <c r="D142" s="9">
        <v>9</v>
      </c>
      <c r="E142" s="10">
        <v>9</v>
      </c>
      <c r="F142" s="8">
        <v>8</v>
      </c>
      <c r="G142" s="7">
        <f t="shared" si="10"/>
        <v>8</v>
      </c>
      <c r="H142" s="8">
        <v>10</v>
      </c>
      <c r="I142" s="10">
        <f t="shared" si="11"/>
        <v>10</v>
      </c>
    </row>
    <row r="143" spans="2:9" x14ac:dyDescent="0.25">
      <c r="B143" s="71" t="s">
        <v>21</v>
      </c>
      <c r="C143" s="20">
        <v>0</v>
      </c>
      <c r="D143" s="9">
        <v>29</v>
      </c>
      <c r="E143" s="10">
        <v>29</v>
      </c>
      <c r="F143" s="8">
        <v>3</v>
      </c>
      <c r="G143" s="7">
        <f t="shared" si="10"/>
        <v>3</v>
      </c>
      <c r="H143" s="8">
        <v>8</v>
      </c>
      <c r="I143" s="10">
        <f t="shared" si="11"/>
        <v>8</v>
      </c>
    </row>
    <row r="144" spans="2:9" x14ac:dyDescent="0.25">
      <c r="B144" s="71" t="s">
        <v>14</v>
      </c>
      <c r="C144" s="20">
        <v>0</v>
      </c>
      <c r="D144" s="9">
        <v>94</v>
      </c>
      <c r="E144" s="10">
        <v>94</v>
      </c>
      <c r="F144" s="8">
        <v>2</v>
      </c>
      <c r="G144" s="7">
        <f t="shared" si="10"/>
        <v>2</v>
      </c>
      <c r="H144" s="8">
        <v>3</v>
      </c>
      <c r="I144" s="10">
        <f t="shared" si="11"/>
        <v>3</v>
      </c>
    </row>
    <row r="145" spans="2:9" x14ac:dyDescent="0.25">
      <c r="B145" s="71" t="s">
        <v>13</v>
      </c>
      <c r="C145" s="20">
        <v>0</v>
      </c>
      <c r="D145" s="9">
        <v>117</v>
      </c>
      <c r="E145" s="10">
        <v>117</v>
      </c>
      <c r="F145" s="8">
        <v>1</v>
      </c>
      <c r="G145" s="7">
        <f t="shared" si="10"/>
        <v>1</v>
      </c>
      <c r="H145" s="8">
        <v>3</v>
      </c>
      <c r="I145" s="10">
        <f t="shared" si="11"/>
        <v>3</v>
      </c>
    </row>
    <row r="146" spans="2:9" x14ac:dyDescent="0.25">
      <c r="B146" s="71" t="s">
        <v>22</v>
      </c>
      <c r="C146" s="20">
        <v>0</v>
      </c>
      <c r="D146" s="9">
        <v>0</v>
      </c>
      <c r="E146" s="10">
        <v>0</v>
      </c>
      <c r="F146" s="8">
        <v>0</v>
      </c>
      <c r="G146" s="7">
        <f t="shared" si="10"/>
        <v>0</v>
      </c>
      <c r="H146" s="8">
        <v>3</v>
      </c>
      <c r="I146" s="10">
        <f t="shared" si="11"/>
        <v>3</v>
      </c>
    </row>
    <row r="147" spans="2:9" x14ac:dyDescent="0.25">
      <c r="B147" s="71" t="s">
        <v>17</v>
      </c>
      <c r="C147" s="20">
        <v>0</v>
      </c>
      <c r="D147" s="9">
        <v>3</v>
      </c>
      <c r="E147" s="10">
        <v>3</v>
      </c>
      <c r="F147" s="8">
        <v>3</v>
      </c>
      <c r="G147" s="7">
        <f t="shared" si="10"/>
        <v>3</v>
      </c>
      <c r="H147" s="8">
        <v>2</v>
      </c>
      <c r="I147" s="10">
        <f t="shared" si="11"/>
        <v>2</v>
      </c>
    </row>
    <row r="148" spans="2:9" x14ac:dyDescent="0.25">
      <c r="B148" s="71" t="s">
        <v>23</v>
      </c>
      <c r="C148" s="20">
        <v>0</v>
      </c>
      <c r="D148" s="9">
        <v>12</v>
      </c>
      <c r="E148" s="10">
        <v>12</v>
      </c>
      <c r="F148" s="8">
        <v>1</v>
      </c>
      <c r="G148" s="7">
        <f t="shared" si="10"/>
        <v>1</v>
      </c>
      <c r="H148" s="8">
        <v>1</v>
      </c>
      <c r="I148" s="10">
        <f t="shared" si="11"/>
        <v>1</v>
      </c>
    </row>
    <row r="149" spans="2:9" x14ac:dyDescent="0.25">
      <c r="B149" s="71" t="s">
        <v>20</v>
      </c>
      <c r="C149" s="20">
        <v>0</v>
      </c>
      <c r="D149" s="9">
        <v>1</v>
      </c>
      <c r="E149" s="10">
        <v>1</v>
      </c>
      <c r="F149" s="8">
        <v>0</v>
      </c>
      <c r="G149" s="7">
        <f t="shared" si="10"/>
        <v>0</v>
      </c>
      <c r="H149" s="8">
        <v>0</v>
      </c>
      <c r="I149" s="10">
        <f t="shared" si="11"/>
        <v>0</v>
      </c>
    </row>
    <row r="150" spans="2:9" ht="15.75" thickBot="1" x14ac:dyDescent="0.3">
      <c r="B150" s="72" t="s">
        <v>18</v>
      </c>
      <c r="C150" s="21">
        <v>0</v>
      </c>
      <c r="D150" s="12">
        <v>2</v>
      </c>
      <c r="E150" s="13">
        <v>2</v>
      </c>
      <c r="F150" s="14">
        <v>0</v>
      </c>
      <c r="G150" s="7">
        <f t="shared" si="10"/>
        <v>0</v>
      </c>
      <c r="H150" s="14">
        <v>0</v>
      </c>
      <c r="I150" s="15">
        <f t="shared" si="11"/>
        <v>0</v>
      </c>
    </row>
    <row r="151" spans="2:9" ht="15.75" thickBot="1" x14ac:dyDescent="0.3">
      <c r="B151" s="65" t="s">
        <v>3</v>
      </c>
      <c r="C151" s="66">
        <v>0</v>
      </c>
      <c r="D151" s="66">
        <v>433</v>
      </c>
      <c r="E151" s="67">
        <v>433</v>
      </c>
      <c r="F151" s="58">
        <f>SUM(F131:F150)</f>
        <v>164</v>
      </c>
      <c r="G151" s="58">
        <f>SUM(G131:G150)</f>
        <v>164</v>
      </c>
      <c r="H151" s="16">
        <f>SUM(H131:H150)</f>
        <v>262</v>
      </c>
      <c r="I151" s="16">
        <f>SUM(I131:I150)</f>
        <v>262</v>
      </c>
    </row>
    <row r="152" spans="2:9" ht="15.75" thickTop="1" x14ac:dyDescent="0.25"/>
    <row r="153" spans="2:9" ht="15.75" thickBot="1" x14ac:dyDescent="0.3"/>
    <row r="154" spans="2:9" ht="16.5" thickTop="1" thickBot="1" x14ac:dyDescent="0.3">
      <c r="B154" s="198" t="s">
        <v>0</v>
      </c>
      <c r="C154" s="73" t="s">
        <v>71</v>
      </c>
      <c r="D154" s="73"/>
      <c r="E154" s="73"/>
      <c r="F154" s="194" t="s">
        <v>70</v>
      </c>
      <c r="G154" s="195"/>
      <c r="H154" s="196" t="s">
        <v>72</v>
      </c>
      <c r="I154" s="197"/>
    </row>
    <row r="155" spans="2:9" ht="15.75" thickBot="1" x14ac:dyDescent="0.3">
      <c r="B155" s="199"/>
      <c r="C155" s="74">
        <v>2021</v>
      </c>
      <c r="D155" s="75">
        <v>2022</v>
      </c>
      <c r="E155" s="76" t="s">
        <v>3</v>
      </c>
      <c r="F155" s="58" t="s">
        <v>67</v>
      </c>
      <c r="G155" s="59" t="s">
        <v>3</v>
      </c>
      <c r="H155" s="1">
        <v>2023</v>
      </c>
      <c r="I155" s="2" t="s">
        <v>3</v>
      </c>
    </row>
    <row r="156" spans="2:9" x14ac:dyDescent="0.25">
      <c r="B156" s="77" t="s">
        <v>6</v>
      </c>
      <c r="C156" s="3">
        <v>0</v>
      </c>
      <c r="D156" s="4">
        <v>62</v>
      </c>
      <c r="E156" s="5">
        <f t="shared" ref="E156:E175" si="12">+D156</f>
        <v>62</v>
      </c>
      <c r="F156" s="38">
        <v>24</v>
      </c>
      <c r="G156" s="7">
        <f t="shared" ref="G156:G175" si="13">F156</f>
        <v>24</v>
      </c>
      <c r="H156" s="6">
        <v>70</v>
      </c>
      <c r="I156" s="7">
        <f t="shared" ref="I156:I175" si="14">+H156</f>
        <v>70</v>
      </c>
    </row>
    <row r="157" spans="2:9" x14ac:dyDescent="0.25">
      <c r="B157" s="78" t="s">
        <v>12</v>
      </c>
      <c r="C157" s="8">
        <v>0</v>
      </c>
      <c r="D157" s="9">
        <v>10</v>
      </c>
      <c r="E157" s="10">
        <f t="shared" si="12"/>
        <v>10</v>
      </c>
      <c r="F157" s="20">
        <v>20</v>
      </c>
      <c r="G157" s="7">
        <f t="shared" si="13"/>
        <v>20</v>
      </c>
      <c r="H157" s="8">
        <v>31</v>
      </c>
      <c r="I157" s="10">
        <f t="shared" si="14"/>
        <v>31</v>
      </c>
    </row>
    <row r="158" spans="2:9" x14ac:dyDescent="0.25">
      <c r="B158" s="79" t="s">
        <v>5</v>
      </c>
      <c r="C158" s="8">
        <v>0</v>
      </c>
      <c r="D158" s="9">
        <v>46</v>
      </c>
      <c r="E158" s="10">
        <f t="shared" si="12"/>
        <v>46</v>
      </c>
      <c r="F158" s="20">
        <v>31</v>
      </c>
      <c r="G158" s="7">
        <f t="shared" si="13"/>
        <v>31</v>
      </c>
      <c r="H158" s="8">
        <v>30</v>
      </c>
      <c r="I158" s="10">
        <f t="shared" si="14"/>
        <v>30</v>
      </c>
    </row>
    <row r="159" spans="2:9" x14ac:dyDescent="0.25">
      <c r="B159" s="78" t="s">
        <v>4</v>
      </c>
      <c r="C159" s="8">
        <v>0</v>
      </c>
      <c r="D159" s="9">
        <v>50</v>
      </c>
      <c r="E159" s="10">
        <f t="shared" si="12"/>
        <v>50</v>
      </c>
      <c r="F159" s="20">
        <v>23</v>
      </c>
      <c r="G159" s="7">
        <f t="shared" si="13"/>
        <v>23</v>
      </c>
      <c r="H159" s="8">
        <v>29</v>
      </c>
      <c r="I159" s="10">
        <f t="shared" si="14"/>
        <v>29</v>
      </c>
    </row>
    <row r="160" spans="2:9" x14ac:dyDescent="0.25">
      <c r="B160" s="79" t="s">
        <v>7</v>
      </c>
      <c r="C160" s="8">
        <v>0</v>
      </c>
      <c r="D160" s="9">
        <v>8</v>
      </c>
      <c r="E160" s="10">
        <f t="shared" si="12"/>
        <v>8</v>
      </c>
      <c r="F160" s="20">
        <v>6</v>
      </c>
      <c r="G160" s="7">
        <f t="shared" si="13"/>
        <v>6</v>
      </c>
      <c r="H160" s="8">
        <v>24</v>
      </c>
      <c r="I160" s="10">
        <f t="shared" si="14"/>
        <v>24</v>
      </c>
    </row>
    <row r="161" spans="2:9" x14ac:dyDescent="0.25">
      <c r="B161" s="79" t="s">
        <v>8</v>
      </c>
      <c r="C161" s="8">
        <v>0</v>
      </c>
      <c r="D161" s="9">
        <v>9</v>
      </c>
      <c r="E161" s="10">
        <f t="shared" si="12"/>
        <v>9</v>
      </c>
      <c r="F161" s="20">
        <v>10</v>
      </c>
      <c r="G161" s="7">
        <f t="shared" si="13"/>
        <v>10</v>
      </c>
      <c r="H161" s="8">
        <v>20</v>
      </c>
      <c r="I161" s="10">
        <f t="shared" si="14"/>
        <v>20</v>
      </c>
    </row>
    <row r="162" spans="2:9" x14ac:dyDescent="0.25">
      <c r="B162" s="79" t="s">
        <v>16</v>
      </c>
      <c r="C162" s="8">
        <v>0</v>
      </c>
      <c r="D162" s="9">
        <v>14</v>
      </c>
      <c r="E162" s="10">
        <f t="shared" si="12"/>
        <v>14</v>
      </c>
      <c r="F162" s="20">
        <v>7</v>
      </c>
      <c r="G162" s="7">
        <f t="shared" si="13"/>
        <v>7</v>
      </c>
      <c r="H162" s="8">
        <v>19</v>
      </c>
      <c r="I162" s="10">
        <f t="shared" si="14"/>
        <v>19</v>
      </c>
    </row>
    <row r="163" spans="2:9" x14ac:dyDescent="0.25">
      <c r="B163" s="79" t="s">
        <v>19</v>
      </c>
      <c r="C163" s="8">
        <v>0</v>
      </c>
      <c r="D163" s="9">
        <v>24</v>
      </c>
      <c r="E163" s="10">
        <f t="shared" si="12"/>
        <v>24</v>
      </c>
      <c r="F163" s="20">
        <v>4</v>
      </c>
      <c r="G163" s="7">
        <f t="shared" si="13"/>
        <v>4</v>
      </c>
      <c r="H163" s="8">
        <v>19</v>
      </c>
      <c r="I163" s="10">
        <f t="shared" si="14"/>
        <v>19</v>
      </c>
    </row>
    <row r="164" spans="2:9" x14ac:dyDescent="0.25">
      <c r="B164" s="79" t="s">
        <v>9</v>
      </c>
      <c r="C164" s="8">
        <v>0</v>
      </c>
      <c r="D164" s="9">
        <v>8</v>
      </c>
      <c r="E164" s="10">
        <f t="shared" si="12"/>
        <v>8</v>
      </c>
      <c r="F164" s="20">
        <v>7</v>
      </c>
      <c r="G164" s="7">
        <f t="shared" si="13"/>
        <v>7</v>
      </c>
      <c r="H164" s="8">
        <v>17</v>
      </c>
      <c r="I164" s="10">
        <f t="shared" si="14"/>
        <v>17</v>
      </c>
    </row>
    <row r="165" spans="2:9" x14ac:dyDescent="0.25">
      <c r="B165" s="79" t="s">
        <v>11</v>
      </c>
      <c r="C165" s="8">
        <v>0</v>
      </c>
      <c r="D165" s="9">
        <v>5</v>
      </c>
      <c r="E165" s="10">
        <f t="shared" si="12"/>
        <v>5</v>
      </c>
      <c r="F165" s="20">
        <v>8</v>
      </c>
      <c r="G165" s="7">
        <f t="shared" si="13"/>
        <v>8</v>
      </c>
      <c r="H165" s="8">
        <v>16</v>
      </c>
      <c r="I165" s="10">
        <f t="shared" si="14"/>
        <v>16</v>
      </c>
    </row>
    <row r="166" spans="2:9" x14ac:dyDescent="0.25">
      <c r="B166" s="79" t="s">
        <v>21</v>
      </c>
      <c r="C166" s="8">
        <v>0</v>
      </c>
      <c r="D166" s="9">
        <v>5</v>
      </c>
      <c r="E166" s="10">
        <f t="shared" si="12"/>
        <v>5</v>
      </c>
      <c r="F166" s="20">
        <v>3</v>
      </c>
      <c r="G166" s="7">
        <f t="shared" si="13"/>
        <v>3</v>
      </c>
      <c r="H166" s="8">
        <v>8</v>
      </c>
      <c r="I166" s="10">
        <f t="shared" si="14"/>
        <v>8</v>
      </c>
    </row>
    <row r="167" spans="2:9" x14ac:dyDescent="0.25">
      <c r="B167" s="79" t="s">
        <v>10</v>
      </c>
      <c r="C167" s="8">
        <v>0</v>
      </c>
      <c r="D167" s="9">
        <v>25</v>
      </c>
      <c r="E167" s="10">
        <f t="shared" si="12"/>
        <v>25</v>
      </c>
      <c r="F167" s="20">
        <v>10</v>
      </c>
      <c r="G167" s="7">
        <f t="shared" si="13"/>
        <v>10</v>
      </c>
      <c r="H167" s="8">
        <v>6</v>
      </c>
      <c r="I167" s="10">
        <f t="shared" si="14"/>
        <v>6</v>
      </c>
    </row>
    <row r="168" spans="2:9" x14ac:dyDescent="0.25">
      <c r="B168" s="79" t="s">
        <v>22</v>
      </c>
      <c r="C168" s="8">
        <v>0</v>
      </c>
      <c r="D168" s="9">
        <v>4</v>
      </c>
      <c r="E168" s="10">
        <f t="shared" si="12"/>
        <v>4</v>
      </c>
      <c r="F168" s="20">
        <v>0</v>
      </c>
      <c r="G168" s="7">
        <f t="shared" si="13"/>
        <v>0</v>
      </c>
      <c r="H168" s="8">
        <v>6</v>
      </c>
      <c r="I168" s="10">
        <f t="shared" si="14"/>
        <v>6</v>
      </c>
    </row>
    <row r="169" spans="2:9" x14ac:dyDescent="0.25">
      <c r="B169" s="79" t="s">
        <v>20</v>
      </c>
      <c r="C169" s="8">
        <v>0</v>
      </c>
      <c r="D169" s="9">
        <v>5</v>
      </c>
      <c r="E169" s="10">
        <f t="shared" si="12"/>
        <v>5</v>
      </c>
      <c r="F169" s="20">
        <v>0</v>
      </c>
      <c r="G169" s="7">
        <f t="shared" si="13"/>
        <v>0</v>
      </c>
      <c r="H169" s="8">
        <v>5</v>
      </c>
      <c r="I169" s="10">
        <f t="shared" si="14"/>
        <v>5</v>
      </c>
    </row>
    <row r="170" spans="2:9" x14ac:dyDescent="0.25">
      <c r="B170" s="79" t="s">
        <v>15</v>
      </c>
      <c r="C170" s="8">
        <v>0</v>
      </c>
      <c r="D170" s="9">
        <v>4</v>
      </c>
      <c r="E170" s="10">
        <f t="shared" si="12"/>
        <v>4</v>
      </c>
      <c r="F170" s="20">
        <v>4</v>
      </c>
      <c r="G170" s="7">
        <f t="shared" si="13"/>
        <v>4</v>
      </c>
      <c r="H170" s="8">
        <v>4</v>
      </c>
      <c r="I170" s="10">
        <f t="shared" si="14"/>
        <v>4</v>
      </c>
    </row>
    <row r="171" spans="2:9" x14ac:dyDescent="0.25">
      <c r="B171" s="79" t="s">
        <v>17</v>
      </c>
      <c r="C171" s="8">
        <v>0</v>
      </c>
      <c r="D171" s="9">
        <v>10</v>
      </c>
      <c r="E171" s="10">
        <f t="shared" si="12"/>
        <v>10</v>
      </c>
      <c r="F171" s="20">
        <v>3</v>
      </c>
      <c r="G171" s="7">
        <f t="shared" si="13"/>
        <v>3</v>
      </c>
      <c r="H171" s="8">
        <v>3</v>
      </c>
      <c r="I171" s="10">
        <f t="shared" si="14"/>
        <v>3</v>
      </c>
    </row>
    <row r="172" spans="2:9" x14ac:dyDescent="0.25">
      <c r="B172" s="79" t="s">
        <v>14</v>
      </c>
      <c r="C172" s="8">
        <v>0</v>
      </c>
      <c r="D172" s="9">
        <v>8</v>
      </c>
      <c r="E172" s="10">
        <f t="shared" si="12"/>
        <v>8</v>
      </c>
      <c r="F172" s="20">
        <v>2</v>
      </c>
      <c r="G172" s="7">
        <f t="shared" si="13"/>
        <v>2</v>
      </c>
      <c r="H172" s="8">
        <v>2</v>
      </c>
      <c r="I172" s="10">
        <f t="shared" si="14"/>
        <v>2</v>
      </c>
    </row>
    <row r="173" spans="2:9" x14ac:dyDescent="0.25">
      <c r="B173" s="79" t="s">
        <v>23</v>
      </c>
      <c r="C173" s="8">
        <v>0</v>
      </c>
      <c r="D173" s="9">
        <v>0</v>
      </c>
      <c r="E173" s="10">
        <f t="shared" si="12"/>
        <v>0</v>
      </c>
      <c r="F173" s="20">
        <v>1</v>
      </c>
      <c r="G173" s="7">
        <f t="shared" si="13"/>
        <v>1</v>
      </c>
      <c r="H173" s="8">
        <v>2</v>
      </c>
      <c r="I173" s="10">
        <f t="shared" si="14"/>
        <v>2</v>
      </c>
    </row>
    <row r="174" spans="2:9" x14ac:dyDescent="0.25">
      <c r="B174" s="79" t="s">
        <v>13</v>
      </c>
      <c r="C174" s="8">
        <v>0</v>
      </c>
      <c r="D174" s="9">
        <v>24</v>
      </c>
      <c r="E174" s="10">
        <f t="shared" si="12"/>
        <v>24</v>
      </c>
      <c r="F174" s="20">
        <v>1</v>
      </c>
      <c r="G174" s="7">
        <f t="shared" si="13"/>
        <v>1</v>
      </c>
      <c r="H174" s="8">
        <v>0</v>
      </c>
      <c r="I174" s="10">
        <f t="shared" si="14"/>
        <v>0</v>
      </c>
    </row>
    <row r="175" spans="2:9" ht="15.75" thickBot="1" x14ac:dyDescent="0.3">
      <c r="B175" s="80" t="s">
        <v>18</v>
      </c>
      <c r="C175" s="14">
        <v>0</v>
      </c>
      <c r="D175" s="40">
        <v>1</v>
      </c>
      <c r="E175" s="15">
        <f t="shared" si="12"/>
        <v>1</v>
      </c>
      <c r="F175" s="39">
        <v>0</v>
      </c>
      <c r="G175" s="7">
        <f t="shared" si="13"/>
        <v>0</v>
      </c>
      <c r="H175" s="14">
        <v>0</v>
      </c>
      <c r="I175" s="15">
        <f t="shared" si="14"/>
        <v>0</v>
      </c>
    </row>
    <row r="176" spans="2:9" ht="15.75" thickBot="1" x14ac:dyDescent="0.3">
      <c r="B176" s="81" t="s">
        <v>3</v>
      </c>
      <c r="C176" s="74">
        <v>0</v>
      </c>
      <c r="D176" s="75">
        <f t="shared" ref="D176:I176" si="15">SUM(D156:D175)</f>
        <v>322</v>
      </c>
      <c r="E176" s="76">
        <f t="shared" si="15"/>
        <v>322</v>
      </c>
      <c r="F176" s="82">
        <f t="shared" si="15"/>
        <v>164</v>
      </c>
      <c r="G176" s="58">
        <f t="shared" si="15"/>
        <v>164</v>
      </c>
      <c r="H176" s="16">
        <f t="shared" si="15"/>
        <v>311</v>
      </c>
      <c r="I176" s="16">
        <f t="shared" si="15"/>
        <v>311</v>
      </c>
    </row>
    <row r="177" spans="2:9" ht="15.75" thickTop="1" x14ac:dyDescent="0.25"/>
    <row r="178" spans="2:9" ht="15.75" thickBot="1" x14ac:dyDescent="0.3"/>
    <row r="179" spans="2:9" ht="16.5" thickTop="1" thickBot="1" x14ac:dyDescent="0.3">
      <c r="B179" s="198" t="s">
        <v>0</v>
      </c>
      <c r="C179" s="73" t="s">
        <v>71</v>
      </c>
      <c r="D179" s="73"/>
      <c r="E179" s="73"/>
      <c r="F179" s="194" t="s">
        <v>72</v>
      </c>
      <c r="G179" s="195"/>
      <c r="H179" s="196" t="s">
        <v>73</v>
      </c>
      <c r="I179" s="197"/>
    </row>
    <row r="180" spans="2:9" ht="15.75" thickBot="1" x14ac:dyDescent="0.3">
      <c r="B180" s="199"/>
      <c r="C180" s="74">
        <v>2021</v>
      </c>
      <c r="D180" s="75">
        <v>2022</v>
      </c>
      <c r="E180" s="76" t="s">
        <v>3</v>
      </c>
      <c r="F180" s="58" t="s">
        <v>67</v>
      </c>
      <c r="G180" s="59" t="s">
        <v>3</v>
      </c>
      <c r="H180" s="1">
        <v>2023</v>
      </c>
      <c r="I180" s="2" t="s">
        <v>3</v>
      </c>
    </row>
    <row r="181" spans="2:9" x14ac:dyDescent="0.25">
      <c r="B181" s="77" t="s">
        <v>15</v>
      </c>
      <c r="C181" s="3">
        <v>0</v>
      </c>
      <c r="D181" s="4">
        <v>4</v>
      </c>
      <c r="E181" s="5">
        <f t="shared" ref="E181:E200" si="16">+D181</f>
        <v>4</v>
      </c>
      <c r="F181" s="6">
        <v>4</v>
      </c>
      <c r="G181" s="7">
        <f t="shared" ref="G181:G200" si="17">F181</f>
        <v>4</v>
      </c>
      <c r="H181" s="6">
        <v>124</v>
      </c>
      <c r="I181" s="7">
        <f t="shared" ref="I181:I200" si="18">+H181</f>
        <v>124</v>
      </c>
    </row>
    <row r="182" spans="2:9" x14ac:dyDescent="0.25">
      <c r="B182" s="78" t="s">
        <v>6</v>
      </c>
      <c r="C182" s="8">
        <v>0</v>
      </c>
      <c r="D182" s="9">
        <v>62</v>
      </c>
      <c r="E182" s="10">
        <f t="shared" si="16"/>
        <v>62</v>
      </c>
      <c r="F182" s="8">
        <v>70</v>
      </c>
      <c r="G182" s="7">
        <f t="shared" si="17"/>
        <v>70</v>
      </c>
      <c r="H182" s="8">
        <v>58</v>
      </c>
      <c r="I182" s="10">
        <f t="shared" si="18"/>
        <v>58</v>
      </c>
    </row>
    <row r="183" spans="2:9" x14ac:dyDescent="0.25">
      <c r="B183" s="79" t="s">
        <v>12</v>
      </c>
      <c r="C183" s="8">
        <v>0</v>
      </c>
      <c r="D183" s="9">
        <v>10</v>
      </c>
      <c r="E183" s="10">
        <f t="shared" si="16"/>
        <v>10</v>
      </c>
      <c r="F183" s="8">
        <v>31</v>
      </c>
      <c r="G183" s="7">
        <f t="shared" si="17"/>
        <v>31</v>
      </c>
      <c r="H183" s="8">
        <v>34</v>
      </c>
      <c r="I183" s="10">
        <f t="shared" si="18"/>
        <v>34</v>
      </c>
    </row>
    <row r="184" spans="2:9" x14ac:dyDescent="0.25">
      <c r="B184" s="78" t="s">
        <v>5</v>
      </c>
      <c r="C184" s="8">
        <v>0</v>
      </c>
      <c r="D184" s="9">
        <v>46</v>
      </c>
      <c r="E184" s="10">
        <f t="shared" si="16"/>
        <v>46</v>
      </c>
      <c r="F184" s="8">
        <v>30</v>
      </c>
      <c r="G184" s="7">
        <f t="shared" si="17"/>
        <v>30</v>
      </c>
      <c r="H184" s="8">
        <v>31</v>
      </c>
      <c r="I184" s="10">
        <f t="shared" si="18"/>
        <v>31</v>
      </c>
    </row>
    <row r="185" spans="2:9" x14ac:dyDescent="0.25">
      <c r="B185" s="79" t="s">
        <v>4</v>
      </c>
      <c r="C185" s="8">
        <v>0</v>
      </c>
      <c r="D185" s="9">
        <v>50</v>
      </c>
      <c r="E185" s="10">
        <f t="shared" si="16"/>
        <v>50</v>
      </c>
      <c r="F185" s="8">
        <v>29</v>
      </c>
      <c r="G185" s="7">
        <f t="shared" si="17"/>
        <v>29</v>
      </c>
      <c r="H185" s="8">
        <v>31</v>
      </c>
      <c r="I185" s="10">
        <f t="shared" si="18"/>
        <v>31</v>
      </c>
    </row>
    <row r="186" spans="2:9" x14ac:dyDescent="0.25">
      <c r="B186" s="79" t="s">
        <v>19</v>
      </c>
      <c r="C186" s="8">
        <v>0</v>
      </c>
      <c r="D186" s="9">
        <v>24</v>
      </c>
      <c r="E186" s="10">
        <f t="shared" si="16"/>
        <v>24</v>
      </c>
      <c r="F186" s="8">
        <v>19</v>
      </c>
      <c r="G186" s="7">
        <f t="shared" si="17"/>
        <v>19</v>
      </c>
      <c r="H186" s="8">
        <v>25</v>
      </c>
      <c r="I186" s="10">
        <f t="shared" si="18"/>
        <v>25</v>
      </c>
    </row>
    <row r="187" spans="2:9" x14ac:dyDescent="0.25">
      <c r="B187" s="79" t="s">
        <v>7</v>
      </c>
      <c r="C187" s="8">
        <v>0</v>
      </c>
      <c r="D187" s="9">
        <v>8</v>
      </c>
      <c r="E187" s="10">
        <f t="shared" si="16"/>
        <v>8</v>
      </c>
      <c r="F187" s="8">
        <v>24</v>
      </c>
      <c r="G187" s="7">
        <f t="shared" si="17"/>
        <v>24</v>
      </c>
      <c r="H187" s="8">
        <v>18</v>
      </c>
      <c r="I187" s="10">
        <f t="shared" si="18"/>
        <v>18</v>
      </c>
    </row>
    <row r="188" spans="2:9" x14ac:dyDescent="0.25">
      <c r="B188" s="79" t="s">
        <v>9</v>
      </c>
      <c r="C188" s="8">
        <v>0</v>
      </c>
      <c r="D188" s="9">
        <v>8</v>
      </c>
      <c r="E188" s="10">
        <f t="shared" si="16"/>
        <v>8</v>
      </c>
      <c r="F188" s="8">
        <v>17</v>
      </c>
      <c r="G188" s="7">
        <f t="shared" si="17"/>
        <v>17</v>
      </c>
      <c r="H188" s="8">
        <v>16</v>
      </c>
      <c r="I188" s="10">
        <f t="shared" si="18"/>
        <v>16</v>
      </c>
    </row>
    <row r="189" spans="2:9" x14ac:dyDescent="0.25">
      <c r="B189" s="79" t="s">
        <v>16</v>
      </c>
      <c r="C189" s="8">
        <v>0</v>
      </c>
      <c r="D189" s="9">
        <v>14</v>
      </c>
      <c r="E189" s="10">
        <f t="shared" si="16"/>
        <v>14</v>
      </c>
      <c r="F189" s="8">
        <v>19</v>
      </c>
      <c r="G189" s="7">
        <f t="shared" si="17"/>
        <v>19</v>
      </c>
      <c r="H189" s="8">
        <v>14</v>
      </c>
      <c r="I189" s="10">
        <f t="shared" si="18"/>
        <v>14</v>
      </c>
    </row>
    <row r="190" spans="2:9" x14ac:dyDescent="0.25">
      <c r="B190" s="79" t="s">
        <v>11</v>
      </c>
      <c r="C190" s="8">
        <v>0</v>
      </c>
      <c r="D190" s="9">
        <v>5</v>
      </c>
      <c r="E190" s="10">
        <f t="shared" si="16"/>
        <v>5</v>
      </c>
      <c r="F190" s="8">
        <v>16</v>
      </c>
      <c r="G190" s="7">
        <f t="shared" si="17"/>
        <v>16</v>
      </c>
      <c r="H190" s="8">
        <v>14</v>
      </c>
      <c r="I190" s="10">
        <f t="shared" si="18"/>
        <v>14</v>
      </c>
    </row>
    <row r="191" spans="2:9" x14ac:dyDescent="0.25">
      <c r="B191" s="79" t="s">
        <v>22</v>
      </c>
      <c r="C191" s="8">
        <v>0</v>
      </c>
      <c r="D191" s="9">
        <v>4</v>
      </c>
      <c r="E191" s="10">
        <f t="shared" si="16"/>
        <v>4</v>
      </c>
      <c r="F191" s="8">
        <v>6</v>
      </c>
      <c r="G191" s="7">
        <f t="shared" si="17"/>
        <v>6</v>
      </c>
      <c r="H191" s="8">
        <v>8</v>
      </c>
      <c r="I191" s="10">
        <f t="shared" si="18"/>
        <v>8</v>
      </c>
    </row>
    <row r="192" spans="2:9" x14ac:dyDescent="0.25">
      <c r="B192" s="79" t="s">
        <v>8</v>
      </c>
      <c r="C192" s="8">
        <v>0</v>
      </c>
      <c r="D192" s="9">
        <v>9</v>
      </c>
      <c r="E192" s="10">
        <f t="shared" si="16"/>
        <v>9</v>
      </c>
      <c r="F192" s="8">
        <v>20</v>
      </c>
      <c r="G192" s="7">
        <f t="shared" si="17"/>
        <v>20</v>
      </c>
      <c r="H192" s="8">
        <v>7</v>
      </c>
      <c r="I192" s="10">
        <f t="shared" si="18"/>
        <v>7</v>
      </c>
    </row>
    <row r="193" spans="2:9" x14ac:dyDescent="0.25">
      <c r="B193" s="79" t="s">
        <v>23</v>
      </c>
      <c r="C193" s="8">
        <v>0</v>
      </c>
      <c r="D193" s="9">
        <v>0</v>
      </c>
      <c r="E193" s="10">
        <f t="shared" si="16"/>
        <v>0</v>
      </c>
      <c r="F193" s="8">
        <v>2</v>
      </c>
      <c r="G193" s="7">
        <f t="shared" si="17"/>
        <v>2</v>
      </c>
      <c r="H193" s="8">
        <v>5</v>
      </c>
      <c r="I193" s="10">
        <f t="shared" si="18"/>
        <v>5</v>
      </c>
    </row>
    <row r="194" spans="2:9" x14ac:dyDescent="0.25">
      <c r="B194" s="79" t="s">
        <v>10</v>
      </c>
      <c r="C194" s="8">
        <v>0</v>
      </c>
      <c r="D194" s="9">
        <v>25</v>
      </c>
      <c r="E194" s="10">
        <f t="shared" si="16"/>
        <v>25</v>
      </c>
      <c r="F194" s="8">
        <v>6</v>
      </c>
      <c r="G194" s="7">
        <f t="shared" si="17"/>
        <v>6</v>
      </c>
      <c r="H194" s="8">
        <v>4</v>
      </c>
      <c r="I194" s="10">
        <f t="shared" si="18"/>
        <v>4</v>
      </c>
    </row>
    <row r="195" spans="2:9" x14ac:dyDescent="0.25">
      <c r="B195" s="79" t="s">
        <v>20</v>
      </c>
      <c r="C195" s="8">
        <v>0</v>
      </c>
      <c r="D195" s="9">
        <v>5</v>
      </c>
      <c r="E195" s="10">
        <f t="shared" si="16"/>
        <v>5</v>
      </c>
      <c r="F195" s="8">
        <v>5</v>
      </c>
      <c r="G195" s="7">
        <f t="shared" si="17"/>
        <v>5</v>
      </c>
      <c r="H195" s="8">
        <v>4</v>
      </c>
      <c r="I195" s="10">
        <f t="shared" si="18"/>
        <v>4</v>
      </c>
    </row>
    <row r="196" spans="2:9" x14ac:dyDescent="0.25">
      <c r="B196" s="79" t="s">
        <v>17</v>
      </c>
      <c r="C196" s="8">
        <v>0</v>
      </c>
      <c r="D196" s="9">
        <v>10</v>
      </c>
      <c r="E196" s="10">
        <f t="shared" si="16"/>
        <v>10</v>
      </c>
      <c r="F196" s="8">
        <v>3</v>
      </c>
      <c r="G196" s="7">
        <f t="shared" si="17"/>
        <v>3</v>
      </c>
      <c r="H196" s="8">
        <v>4</v>
      </c>
      <c r="I196" s="10">
        <f t="shared" si="18"/>
        <v>4</v>
      </c>
    </row>
    <row r="197" spans="2:9" x14ac:dyDescent="0.25">
      <c r="B197" s="79" t="s">
        <v>14</v>
      </c>
      <c r="C197" s="8">
        <v>0</v>
      </c>
      <c r="D197" s="9">
        <v>8</v>
      </c>
      <c r="E197" s="10">
        <f t="shared" si="16"/>
        <v>8</v>
      </c>
      <c r="F197" s="8">
        <v>2</v>
      </c>
      <c r="G197" s="7">
        <f t="shared" si="17"/>
        <v>2</v>
      </c>
      <c r="H197" s="8">
        <v>2</v>
      </c>
      <c r="I197" s="10">
        <f t="shared" si="18"/>
        <v>2</v>
      </c>
    </row>
    <row r="198" spans="2:9" x14ac:dyDescent="0.25">
      <c r="B198" s="79" t="s">
        <v>21</v>
      </c>
      <c r="C198" s="8">
        <v>0</v>
      </c>
      <c r="D198" s="9">
        <v>5</v>
      </c>
      <c r="E198" s="10">
        <f t="shared" si="16"/>
        <v>5</v>
      </c>
      <c r="F198" s="8">
        <v>8</v>
      </c>
      <c r="G198" s="7">
        <f t="shared" si="17"/>
        <v>8</v>
      </c>
      <c r="H198" s="8">
        <v>1</v>
      </c>
      <c r="I198" s="10">
        <f t="shared" si="18"/>
        <v>1</v>
      </c>
    </row>
    <row r="199" spans="2:9" x14ac:dyDescent="0.25">
      <c r="B199" s="79" t="s">
        <v>13</v>
      </c>
      <c r="C199" s="8">
        <v>0</v>
      </c>
      <c r="D199" s="9">
        <v>24</v>
      </c>
      <c r="E199" s="10">
        <f t="shared" si="16"/>
        <v>24</v>
      </c>
      <c r="F199" s="8">
        <v>0</v>
      </c>
      <c r="G199" s="7">
        <f t="shared" si="17"/>
        <v>0</v>
      </c>
      <c r="H199" s="8">
        <v>0</v>
      </c>
      <c r="I199" s="10">
        <f t="shared" si="18"/>
        <v>0</v>
      </c>
    </row>
    <row r="200" spans="2:9" ht="15.75" thickBot="1" x14ac:dyDescent="0.3">
      <c r="B200" s="80" t="s">
        <v>18</v>
      </c>
      <c r="C200" s="14">
        <v>0</v>
      </c>
      <c r="D200" s="40">
        <v>1</v>
      </c>
      <c r="E200" s="15">
        <f t="shared" si="16"/>
        <v>1</v>
      </c>
      <c r="F200" s="14">
        <v>0</v>
      </c>
      <c r="G200" s="7">
        <f t="shared" si="17"/>
        <v>0</v>
      </c>
      <c r="H200" s="14">
        <v>0</v>
      </c>
      <c r="I200" s="15">
        <f t="shared" si="18"/>
        <v>0</v>
      </c>
    </row>
    <row r="201" spans="2:9" ht="15.75" thickBot="1" x14ac:dyDescent="0.3">
      <c r="B201" s="81" t="s">
        <v>3</v>
      </c>
      <c r="C201" s="74">
        <v>0</v>
      </c>
      <c r="D201" s="75">
        <f t="shared" ref="D201:I201" si="19">SUM(D181:D200)</f>
        <v>322</v>
      </c>
      <c r="E201" s="76">
        <f t="shared" si="19"/>
        <v>322</v>
      </c>
      <c r="F201" s="82">
        <f t="shared" si="19"/>
        <v>311</v>
      </c>
      <c r="G201" s="58">
        <f t="shared" si="19"/>
        <v>311</v>
      </c>
      <c r="H201" s="16">
        <f t="shared" si="19"/>
        <v>400</v>
      </c>
      <c r="I201" s="16">
        <f t="shared" si="19"/>
        <v>400</v>
      </c>
    </row>
    <row r="202" spans="2:9" ht="15.75" thickTop="1" x14ac:dyDescent="0.25"/>
    <row r="204" spans="2:9" ht="15.75" thickBot="1" x14ac:dyDescent="0.3"/>
    <row r="205" spans="2:9" ht="16.5" thickTop="1" thickBot="1" x14ac:dyDescent="0.3">
      <c r="B205" s="198" t="s">
        <v>0</v>
      </c>
      <c r="C205" s="73" t="s">
        <v>71</v>
      </c>
      <c r="D205" s="73"/>
      <c r="E205" s="73"/>
      <c r="F205" s="194" t="s">
        <v>73</v>
      </c>
      <c r="G205" s="195"/>
      <c r="H205" s="196" t="s">
        <v>74</v>
      </c>
      <c r="I205" s="197"/>
    </row>
    <row r="206" spans="2:9" ht="15.75" thickBot="1" x14ac:dyDescent="0.3">
      <c r="B206" s="199"/>
      <c r="C206" s="74">
        <v>2021</v>
      </c>
      <c r="D206" s="75">
        <v>2022</v>
      </c>
      <c r="E206" s="76" t="s">
        <v>3</v>
      </c>
      <c r="F206" s="58" t="s">
        <v>67</v>
      </c>
      <c r="G206" s="59" t="s">
        <v>3</v>
      </c>
      <c r="H206" s="1">
        <v>2023</v>
      </c>
      <c r="I206" s="2" t="s">
        <v>3</v>
      </c>
    </row>
    <row r="207" spans="2:9" x14ac:dyDescent="0.25">
      <c r="B207" s="77" t="s">
        <v>15</v>
      </c>
      <c r="C207" s="3">
        <v>0</v>
      </c>
      <c r="D207" s="4">
        <v>4</v>
      </c>
      <c r="E207" s="5">
        <f t="shared" ref="E207:E226" si="20">+D207</f>
        <v>4</v>
      </c>
      <c r="F207" s="6">
        <v>124</v>
      </c>
      <c r="G207" s="7">
        <f t="shared" ref="G207:G226" si="21">F207</f>
        <v>124</v>
      </c>
      <c r="H207" s="6">
        <v>726</v>
      </c>
      <c r="I207" s="7">
        <f t="shared" ref="I207:I226" si="22">+H207</f>
        <v>726</v>
      </c>
    </row>
    <row r="208" spans="2:9" x14ac:dyDescent="0.25">
      <c r="B208" s="78" t="s">
        <v>5</v>
      </c>
      <c r="C208" s="8">
        <v>0</v>
      </c>
      <c r="D208" s="9">
        <v>46</v>
      </c>
      <c r="E208" s="10">
        <f t="shared" si="20"/>
        <v>46</v>
      </c>
      <c r="F208" s="8">
        <v>31</v>
      </c>
      <c r="G208" s="7">
        <f t="shared" si="21"/>
        <v>31</v>
      </c>
      <c r="H208" s="8">
        <v>43</v>
      </c>
      <c r="I208" s="10">
        <f t="shared" si="22"/>
        <v>43</v>
      </c>
    </row>
    <row r="209" spans="2:9" x14ac:dyDescent="0.25">
      <c r="B209" s="79" t="s">
        <v>4</v>
      </c>
      <c r="C209" s="8">
        <v>0</v>
      </c>
      <c r="D209" s="9">
        <v>50</v>
      </c>
      <c r="E209" s="10">
        <f t="shared" si="20"/>
        <v>50</v>
      </c>
      <c r="F209" s="8">
        <v>31</v>
      </c>
      <c r="G209" s="7">
        <f t="shared" si="21"/>
        <v>31</v>
      </c>
      <c r="H209" s="8">
        <v>42</v>
      </c>
      <c r="I209" s="10">
        <f t="shared" si="22"/>
        <v>42</v>
      </c>
    </row>
    <row r="210" spans="2:9" x14ac:dyDescent="0.25">
      <c r="B210" s="78" t="s">
        <v>12</v>
      </c>
      <c r="C210" s="8">
        <v>0</v>
      </c>
      <c r="D210" s="9">
        <v>10</v>
      </c>
      <c r="E210" s="10">
        <f t="shared" si="20"/>
        <v>10</v>
      </c>
      <c r="F210" s="8">
        <v>34</v>
      </c>
      <c r="G210" s="7">
        <f t="shared" si="21"/>
        <v>34</v>
      </c>
      <c r="H210" s="8">
        <v>32</v>
      </c>
      <c r="I210" s="10">
        <f t="shared" si="22"/>
        <v>32</v>
      </c>
    </row>
    <row r="211" spans="2:9" x14ac:dyDescent="0.25">
      <c r="B211" s="79" t="s">
        <v>7</v>
      </c>
      <c r="C211" s="8">
        <v>0</v>
      </c>
      <c r="D211" s="9">
        <v>8</v>
      </c>
      <c r="E211" s="10">
        <f t="shared" si="20"/>
        <v>8</v>
      </c>
      <c r="F211" s="8">
        <v>18</v>
      </c>
      <c r="G211" s="7">
        <f t="shared" si="21"/>
        <v>18</v>
      </c>
      <c r="H211" s="8">
        <v>32</v>
      </c>
      <c r="I211" s="10">
        <f t="shared" si="22"/>
        <v>32</v>
      </c>
    </row>
    <row r="212" spans="2:9" x14ac:dyDescent="0.25">
      <c r="B212" s="79" t="s">
        <v>6</v>
      </c>
      <c r="C212" s="8">
        <v>0</v>
      </c>
      <c r="D212" s="9">
        <v>62</v>
      </c>
      <c r="E212" s="10">
        <f t="shared" si="20"/>
        <v>62</v>
      </c>
      <c r="F212" s="8">
        <v>58</v>
      </c>
      <c r="G212" s="7">
        <f t="shared" si="21"/>
        <v>58</v>
      </c>
      <c r="H212" s="8">
        <v>31</v>
      </c>
      <c r="I212" s="10">
        <f t="shared" si="22"/>
        <v>31</v>
      </c>
    </row>
    <row r="213" spans="2:9" x14ac:dyDescent="0.25">
      <c r="B213" s="79" t="s">
        <v>11</v>
      </c>
      <c r="C213" s="8">
        <v>0</v>
      </c>
      <c r="D213" s="9">
        <v>5</v>
      </c>
      <c r="E213" s="10">
        <f t="shared" si="20"/>
        <v>5</v>
      </c>
      <c r="F213" s="8">
        <v>14</v>
      </c>
      <c r="G213" s="7">
        <f t="shared" si="21"/>
        <v>14</v>
      </c>
      <c r="H213" s="8">
        <v>26</v>
      </c>
      <c r="I213" s="10">
        <f t="shared" si="22"/>
        <v>26</v>
      </c>
    </row>
    <row r="214" spans="2:9" x14ac:dyDescent="0.25">
      <c r="B214" s="79" t="s">
        <v>19</v>
      </c>
      <c r="C214" s="8">
        <v>0</v>
      </c>
      <c r="D214" s="9">
        <v>24</v>
      </c>
      <c r="E214" s="10">
        <f t="shared" si="20"/>
        <v>24</v>
      </c>
      <c r="F214" s="8">
        <v>25</v>
      </c>
      <c r="G214" s="7">
        <f t="shared" si="21"/>
        <v>25</v>
      </c>
      <c r="H214" s="8">
        <v>25</v>
      </c>
      <c r="I214" s="10">
        <f t="shared" si="22"/>
        <v>25</v>
      </c>
    </row>
    <row r="215" spans="2:9" x14ac:dyDescent="0.25">
      <c r="B215" s="79" t="s">
        <v>16</v>
      </c>
      <c r="C215" s="8">
        <v>0</v>
      </c>
      <c r="D215" s="9">
        <v>14</v>
      </c>
      <c r="E215" s="10">
        <f t="shared" si="20"/>
        <v>14</v>
      </c>
      <c r="F215" s="8">
        <v>14</v>
      </c>
      <c r="G215" s="7">
        <f t="shared" si="21"/>
        <v>14</v>
      </c>
      <c r="H215" s="8">
        <v>14</v>
      </c>
      <c r="I215" s="10">
        <f t="shared" si="22"/>
        <v>14</v>
      </c>
    </row>
    <row r="216" spans="2:9" x14ac:dyDescent="0.25">
      <c r="B216" s="79" t="s">
        <v>22</v>
      </c>
      <c r="C216" s="8">
        <v>0</v>
      </c>
      <c r="D216" s="9">
        <v>4</v>
      </c>
      <c r="E216" s="10">
        <f t="shared" si="20"/>
        <v>4</v>
      </c>
      <c r="F216" s="8">
        <v>8</v>
      </c>
      <c r="G216" s="7">
        <f t="shared" si="21"/>
        <v>8</v>
      </c>
      <c r="H216" s="8">
        <v>12</v>
      </c>
      <c r="I216" s="10">
        <f t="shared" si="22"/>
        <v>12</v>
      </c>
    </row>
    <row r="217" spans="2:9" x14ac:dyDescent="0.25">
      <c r="B217" s="79" t="s">
        <v>9</v>
      </c>
      <c r="C217" s="8">
        <v>0</v>
      </c>
      <c r="D217" s="9">
        <v>8</v>
      </c>
      <c r="E217" s="10">
        <f t="shared" si="20"/>
        <v>8</v>
      </c>
      <c r="F217" s="8">
        <v>16</v>
      </c>
      <c r="G217" s="7">
        <f t="shared" si="21"/>
        <v>16</v>
      </c>
      <c r="H217" s="8">
        <v>8</v>
      </c>
      <c r="I217" s="10">
        <f t="shared" si="22"/>
        <v>8</v>
      </c>
    </row>
    <row r="218" spans="2:9" x14ac:dyDescent="0.25">
      <c r="B218" s="79" t="s">
        <v>8</v>
      </c>
      <c r="C218" s="8">
        <v>0</v>
      </c>
      <c r="D218" s="9">
        <v>9</v>
      </c>
      <c r="E218" s="10">
        <f t="shared" si="20"/>
        <v>9</v>
      </c>
      <c r="F218" s="8">
        <v>7</v>
      </c>
      <c r="G218" s="7">
        <f t="shared" si="21"/>
        <v>7</v>
      </c>
      <c r="H218" s="8">
        <v>8</v>
      </c>
      <c r="I218" s="10">
        <f t="shared" si="22"/>
        <v>8</v>
      </c>
    </row>
    <row r="219" spans="2:9" x14ac:dyDescent="0.25">
      <c r="B219" s="79" t="s">
        <v>13</v>
      </c>
      <c r="C219" s="8">
        <v>0</v>
      </c>
      <c r="D219" s="9">
        <v>24</v>
      </c>
      <c r="E219" s="10">
        <f t="shared" si="20"/>
        <v>24</v>
      </c>
      <c r="F219" s="8">
        <v>0</v>
      </c>
      <c r="G219" s="7">
        <f t="shared" si="21"/>
        <v>0</v>
      </c>
      <c r="H219" s="8">
        <v>8</v>
      </c>
      <c r="I219" s="10">
        <f t="shared" si="22"/>
        <v>8</v>
      </c>
    </row>
    <row r="220" spans="2:9" x14ac:dyDescent="0.25">
      <c r="B220" s="79" t="s">
        <v>17</v>
      </c>
      <c r="C220" s="8">
        <v>0</v>
      </c>
      <c r="D220" s="9">
        <v>10</v>
      </c>
      <c r="E220" s="10">
        <f t="shared" si="20"/>
        <v>10</v>
      </c>
      <c r="F220" s="8">
        <v>4</v>
      </c>
      <c r="G220" s="7">
        <f t="shared" si="21"/>
        <v>4</v>
      </c>
      <c r="H220" s="8">
        <v>7</v>
      </c>
      <c r="I220" s="10">
        <f t="shared" si="22"/>
        <v>7</v>
      </c>
    </row>
    <row r="221" spans="2:9" x14ac:dyDescent="0.25">
      <c r="B221" s="79" t="s">
        <v>10</v>
      </c>
      <c r="C221" s="8">
        <v>0</v>
      </c>
      <c r="D221" s="9">
        <v>25</v>
      </c>
      <c r="E221" s="10">
        <f t="shared" si="20"/>
        <v>25</v>
      </c>
      <c r="F221" s="8">
        <v>4</v>
      </c>
      <c r="G221" s="7">
        <f t="shared" si="21"/>
        <v>4</v>
      </c>
      <c r="H221" s="8">
        <v>6</v>
      </c>
      <c r="I221" s="10">
        <f t="shared" si="22"/>
        <v>6</v>
      </c>
    </row>
    <row r="222" spans="2:9" x14ac:dyDescent="0.25">
      <c r="B222" s="79" t="s">
        <v>14</v>
      </c>
      <c r="C222" s="8">
        <v>0</v>
      </c>
      <c r="D222" s="9">
        <v>8</v>
      </c>
      <c r="E222" s="10">
        <f t="shared" si="20"/>
        <v>8</v>
      </c>
      <c r="F222" s="8">
        <v>2</v>
      </c>
      <c r="G222" s="7">
        <f t="shared" si="21"/>
        <v>2</v>
      </c>
      <c r="H222" s="8">
        <v>5</v>
      </c>
      <c r="I222" s="10">
        <f t="shared" si="22"/>
        <v>5</v>
      </c>
    </row>
    <row r="223" spans="2:9" x14ac:dyDescent="0.25">
      <c r="B223" s="79" t="s">
        <v>23</v>
      </c>
      <c r="C223" s="8">
        <v>0</v>
      </c>
      <c r="D223" s="9">
        <v>0</v>
      </c>
      <c r="E223" s="10">
        <f t="shared" si="20"/>
        <v>0</v>
      </c>
      <c r="F223" s="8">
        <v>5</v>
      </c>
      <c r="G223" s="7">
        <f t="shared" si="21"/>
        <v>5</v>
      </c>
      <c r="H223" s="8">
        <v>2</v>
      </c>
      <c r="I223" s="10">
        <f t="shared" si="22"/>
        <v>2</v>
      </c>
    </row>
    <row r="224" spans="2:9" x14ac:dyDescent="0.25">
      <c r="B224" s="79" t="s">
        <v>20</v>
      </c>
      <c r="C224" s="8">
        <v>0</v>
      </c>
      <c r="D224" s="9">
        <v>5</v>
      </c>
      <c r="E224" s="10">
        <f t="shared" si="20"/>
        <v>5</v>
      </c>
      <c r="F224" s="8">
        <v>4</v>
      </c>
      <c r="G224" s="7">
        <f t="shared" si="21"/>
        <v>4</v>
      </c>
      <c r="H224" s="8">
        <v>2</v>
      </c>
      <c r="I224" s="10">
        <f t="shared" si="22"/>
        <v>2</v>
      </c>
    </row>
    <row r="225" spans="2:9" x14ac:dyDescent="0.25">
      <c r="B225" s="79" t="s">
        <v>21</v>
      </c>
      <c r="C225" s="8">
        <v>0</v>
      </c>
      <c r="D225" s="9">
        <v>5</v>
      </c>
      <c r="E225" s="10">
        <f t="shared" si="20"/>
        <v>5</v>
      </c>
      <c r="F225" s="8">
        <v>1</v>
      </c>
      <c r="G225" s="7">
        <f t="shared" si="21"/>
        <v>1</v>
      </c>
      <c r="H225" s="8">
        <v>0</v>
      </c>
      <c r="I225" s="10">
        <f t="shared" si="22"/>
        <v>0</v>
      </c>
    </row>
    <row r="226" spans="2:9" ht="15.75" thickBot="1" x14ac:dyDescent="0.3">
      <c r="B226" s="80" t="s">
        <v>18</v>
      </c>
      <c r="C226" s="14">
        <v>0</v>
      </c>
      <c r="D226" s="40">
        <v>1</v>
      </c>
      <c r="E226" s="15">
        <f t="shared" si="20"/>
        <v>1</v>
      </c>
      <c r="F226" s="14">
        <v>0</v>
      </c>
      <c r="G226" s="7">
        <f t="shared" si="21"/>
        <v>0</v>
      </c>
      <c r="H226" s="14">
        <v>0</v>
      </c>
      <c r="I226" s="15">
        <f t="shared" si="22"/>
        <v>0</v>
      </c>
    </row>
    <row r="227" spans="2:9" ht="15.75" thickBot="1" x14ac:dyDescent="0.3">
      <c r="B227" s="81" t="s">
        <v>3</v>
      </c>
      <c r="C227" s="74">
        <v>0</v>
      </c>
      <c r="D227" s="75">
        <f t="shared" ref="D227:I227" si="23">SUM(D207:D226)</f>
        <v>322</v>
      </c>
      <c r="E227" s="76">
        <f t="shared" si="23"/>
        <v>322</v>
      </c>
      <c r="F227" s="82">
        <f t="shared" si="23"/>
        <v>400</v>
      </c>
      <c r="G227" s="58">
        <f t="shared" si="23"/>
        <v>400</v>
      </c>
      <c r="H227" s="16">
        <f t="shared" si="23"/>
        <v>1029</v>
      </c>
      <c r="I227" s="16">
        <f t="shared" si="23"/>
        <v>1029</v>
      </c>
    </row>
    <row r="228" spans="2:9" ht="15.75" thickTop="1" x14ac:dyDescent="0.25"/>
    <row r="230" spans="2:9" ht="15.75" thickBot="1" x14ac:dyDescent="0.3"/>
    <row r="231" spans="2:9" ht="16.5" thickTop="1" thickBot="1" x14ac:dyDescent="0.3">
      <c r="B231" s="198" t="s">
        <v>0</v>
      </c>
      <c r="C231" s="73" t="s">
        <v>71</v>
      </c>
      <c r="D231" s="73"/>
      <c r="E231" s="73"/>
      <c r="F231" s="194" t="s">
        <v>68</v>
      </c>
      <c r="G231" s="195"/>
      <c r="H231" s="196" t="s">
        <v>75</v>
      </c>
      <c r="I231" s="197"/>
    </row>
    <row r="232" spans="2:9" ht="15.75" thickBot="1" x14ac:dyDescent="0.3">
      <c r="B232" s="199"/>
      <c r="C232" s="74">
        <v>2021</v>
      </c>
      <c r="D232" s="75">
        <v>2022</v>
      </c>
      <c r="E232" s="76" t="s">
        <v>3</v>
      </c>
      <c r="F232" s="58" t="s">
        <v>67</v>
      </c>
      <c r="G232" s="59" t="s">
        <v>3</v>
      </c>
      <c r="H232" s="1">
        <v>2023</v>
      </c>
      <c r="I232" s="2" t="s">
        <v>3</v>
      </c>
    </row>
    <row r="233" spans="2:9" x14ac:dyDescent="0.25">
      <c r="B233" s="77" t="s">
        <v>15</v>
      </c>
      <c r="C233" s="3">
        <v>0</v>
      </c>
      <c r="D233" s="4">
        <v>4</v>
      </c>
      <c r="E233" s="5">
        <f t="shared" ref="E233:E252" si="24">+D233</f>
        <v>4</v>
      </c>
      <c r="F233" s="6">
        <v>726</v>
      </c>
      <c r="G233" s="7">
        <f t="shared" ref="G233:G252" si="25">F233</f>
        <v>726</v>
      </c>
      <c r="H233" s="6">
        <v>923</v>
      </c>
      <c r="I233" s="7">
        <f t="shared" ref="I233:I252" si="26">+H233</f>
        <v>923</v>
      </c>
    </row>
    <row r="234" spans="2:9" x14ac:dyDescent="0.25">
      <c r="B234" s="78" t="s">
        <v>5</v>
      </c>
      <c r="C234" s="8">
        <v>0</v>
      </c>
      <c r="D234" s="9">
        <v>46</v>
      </c>
      <c r="E234" s="10">
        <f t="shared" si="24"/>
        <v>46</v>
      </c>
      <c r="F234" s="8">
        <v>43</v>
      </c>
      <c r="G234" s="7">
        <f t="shared" si="25"/>
        <v>43</v>
      </c>
      <c r="H234" s="8">
        <v>47</v>
      </c>
      <c r="I234" s="10">
        <f t="shared" si="26"/>
        <v>47</v>
      </c>
    </row>
    <row r="235" spans="2:9" x14ac:dyDescent="0.25">
      <c r="B235" s="79" t="s">
        <v>7</v>
      </c>
      <c r="C235" s="8">
        <v>0</v>
      </c>
      <c r="D235" s="9">
        <v>8</v>
      </c>
      <c r="E235" s="10">
        <f t="shared" si="24"/>
        <v>8</v>
      </c>
      <c r="F235" s="8">
        <v>32</v>
      </c>
      <c r="G235" s="7">
        <f t="shared" si="25"/>
        <v>32</v>
      </c>
      <c r="H235" s="8">
        <v>39</v>
      </c>
      <c r="I235" s="10">
        <f t="shared" si="26"/>
        <v>39</v>
      </c>
    </row>
    <row r="236" spans="2:9" x14ac:dyDescent="0.25">
      <c r="B236" s="78" t="s">
        <v>4</v>
      </c>
      <c r="C236" s="8">
        <v>0</v>
      </c>
      <c r="D236" s="9">
        <v>50</v>
      </c>
      <c r="E236" s="10">
        <f t="shared" si="24"/>
        <v>50</v>
      </c>
      <c r="F236" s="8">
        <v>42</v>
      </c>
      <c r="G236" s="7">
        <f t="shared" si="25"/>
        <v>42</v>
      </c>
      <c r="H236" s="8">
        <v>33</v>
      </c>
      <c r="I236" s="10">
        <f t="shared" si="26"/>
        <v>33</v>
      </c>
    </row>
    <row r="237" spans="2:9" x14ac:dyDescent="0.25">
      <c r="B237" s="79" t="s">
        <v>11</v>
      </c>
      <c r="C237" s="8">
        <v>0</v>
      </c>
      <c r="D237" s="9">
        <v>5</v>
      </c>
      <c r="E237" s="10">
        <f t="shared" si="24"/>
        <v>5</v>
      </c>
      <c r="F237" s="8">
        <v>26</v>
      </c>
      <c r="G237" s="7">
        <f t="shared" si="25"/>
        <v>26</v>
      </c>
      <c r="H237" s="8">
        <v>33</v>
      </c>
      <c r="I237" s="10">
        <f t="shared" si="26"/>
        <v>33</v>
      </c>
    </row>
    <row r="238" spans="2:9" x14ac:dyDescent="0.25">
      <c r="B238" s="79" t="s">
        <v>12</v>
      </c>
      <c r="C238" s="8">
        <v>0</v>
      </c>
      <c r="D238" s="9">
        <v>10</v>
      </c>
      <c r="E238" s="10">
        <f t="shared" si="24"/>
        <v>10</v>
      </c>
      <c r="F238" s="8">
        <v>32</v>
      </c>
      <c r="G238" s="7">
        <f t="shared" si="25"/>
        <v>32</v>
      </c>
      <c r="H238" s="8">
        <v>25</v>
      </c>
      <c r="I238" s="10">
        <f t="shared" si="26"/>
        <v>25</v>
      </c>
    </row>
    <row r="239" spans="2:9" x14ac:dyDescent="0.25">
      <c r="B239" s="79" t="s">
        <v>19</v>
      </c>
      <c r="C239" s="8">
        <v>0</v>
      </c>
      <c r="D239" s="9">
        <v>24</v>
      </c>
      <c r="E239" s="10">
        <f t="shared" si="24"/>
        <v>24</v>
      </c>
      <c r="F239" s="8">
        <v>25</v>
      </c>
      <c r="G239" s="7">
        <f t="shared" si="25"/>
        <v>25</v>
      </c>
      <c r="H239" s="8">
        <v>20</v>
      </c>
      <c r="I239" s="10">
        <f t="shared" si="26"/>
        <v>20</v>
      </c>
    </row>
    <row r="240" spans="2:9" x14ac:dyDescent="0.25">
      <c r="B240" s="79" t="s">
        <v>16</v>
      </c>
      <c r="C240" s="8">
        <v>0</v>
      </c>
      <c r="D240" s="9">
        <v>14</v>
      </c>
      <c r="E240" s="10">
        <f t="shared" si="24"/>
        <v>14</v>
      </c>
      <c r="F240" s="8">
        <v>14</v>
      </c>
      <c r="G240" s="7">
        <f t="shared" si="25"/>
        <v>14</v>
      </c>
      <c r="H240" s="8">
        <v>13</v>
      </c>
      <c r="I240" s="10">
        <f t="shared" si="26"/>
        <v>13</v>
      </c>
    </row>
    <row r="241" spans="2:9" x14ac:dyDescent="0.25">
      <c r="B241" s="79" t="s">
        <v>6</v>
      </c>
      <c r="C241" s="8">
        <v>0</v>
      </c>
      <c r="D241" s="9">
        <v>62</v>
      </c>
      <c r="E241" s="10">
        <f t="shared" si="24"/>
        <v>62</v>
      </c>
      <c r="F241" s="8">
        <v>31</v>
      </c>
      <c r="G241" s="7">
        <f t="shared" si="25"/>
        <v>31</v>
      </c>
      <c r="H241" s="8">
        <v>11</v>
      </c>
      <c r="I241" s="10">
        <f t="shared" si="26"/>
        <v>11</v>
      </c>
    </row>
    <row r="242" spans="2:9" x14ac:dyDescent="0.25">
      <c r="B242" s="79" t="s">
        <v>10</v>
      </c>
      <c r="C242" s="8">
        <v>0</v>
      </c>
      <c r="D242" s="9">
        <v>25</v>
      </c>
      <c r="E242" s="10">
        <f t="shared" si="24"/>
        <v>25</v>
      </c>
      <c r="F242" s="8">
        <v>6</v>
      </c>
      <c r="G242" s="7">
        <f t="shared" si="25"/>
        <v>6</v>
      </c>
      <c r="H242" s="8">
        <v>11</v>
      </c>
      <c r="I242" s="10">
        <f t="shared" si="26"/>
        <v>11</v>
      </c>
    </row>
    <row r="243" spans="2:9" x14ac:dyDescent="0.25">
      <c r="B243" s="79" t="s">
        <v>8</v>
      </c>
      <c r="C243" s="8">
        <v>0</v>
      </c>
      <c r="D243" s="9">
        <v>9</v>
      </c>
      <c r="E243" s="10">
        <f t="shared" si="24"/>
        <v>9</v>
      </c>
      <c r="F243" s="8">
        <v>8</v>
      </c>
      <c r="G243" s="7">
        <f t="shared" si="25"/>
        <v>8</v>
      </c>
      <c r="H243" s="8">
        <v>10</v>
      </c>
      <c r="I243" s="10">
        <f t="shared" si="26"/>
        <v>10</v>
      </c>
    </row>
    <row r="244" spans="2:9" x14ac:dyDescent="0.25">
      <c r="B244" s="79" t="s">
        <v>14</v>
      </c>
      <c r="C244" s="8">
        <v>0</v>
      </c>
      <c r="D244" s="9">
        <v>8</v>
      </c>
      <c r="E244" s="10">
        <f t="shared" si="24"/>
        <v>8</v>
      </c>
      <c r="F244" s="8">
        <v>5</v>
      </c>
      <c r="G244" s="7">
        <f t="shared" si="25"/>
        <v>5</v>
      </c>
      <c r="H244" s="8">
        <v>10</v>
      </c>
      <c r="I244" s="10">
        <f t="shared" si="26"/>
        <v>10</v>
      </c>
    </row>
    <row r="245" spans="2:9" x14ac:dyDescent="0.25">
      <c r="B245" s="79" t="s">
        <v>13</v>
      </c>
      <c r="C245" s="8">
        <v>0</v>
      </c>
      <c r="D245" s="9">
        <v>24</v>
      </c>
      <c r="E245" s="10">
        <f t="shared" si="24"/>
        <v>24</v>
      </c>
      <c r="F245" s="8">
        <v>8</v>
      </c>
      <c r="G245" s="7">
        <f t="shared" si="25"/>
        <v>8</v>
      </c>
      <c r="H245" s="8">
        <v>8</v>
      </c>
      <c r="I245" s="10">
        <f t="shared" si="26"/>
        <v>8</v>
      </c>
    </row>
    <row r="246" spans="2:9" x14ac:dyDescent="0.25">
      <c r="B246" s="79" t="s">
        <v>22</v>
      </c>
      <c r="C246" s="8">
        <v>0</v>
      </c>
      <c r="D246" s="9">
        <v>4</v>
      </c>
      <c r="E246" s="10">
        <f t="shared" si="24"/>
        <v>4</v>
      </c>
      <c r="F246" s="8">
        <v>12</v>
      </c>
      <c r="G246" s="7">
        <f t="shared" si="25"/>
        <v>12</v>
      </c>
      <c r="H246" s="8">
        <v>7</v>
      </c>
      <c r="I246" s="10">
        <f t="shared" si="26"/>
        <v>7</v>
      </c>
    </row>
    <row r="247" spans="2:9" x14ac:dyDescent="0.25">
      <c r="B247" s="79" t="s">
        <v>17</v>
      </c>
      <c r="C247" s="8">
        <v>0</v>
      </c>
      <c r="D247" s="9">
        <v>10</v>
      </c>
      <c r="E247" s="10">
        <f t="shared" si="24"/>
        <v>10</v>
      </c>
      <c r="F247" s="8">
        <v>7</v>
      </c>
      <c r="G247" s="7">
        <f t="shared" si="25"/>
        <v>7</v>
      </c>
      <c r="H247" s="8">
        <v>5</v>
      </c>
      <c r="I247" s="10">
        <f t="shared" si="26"/>
        <v>5</v>
      </c>
    </row>
    <row r="248" spans="2:9" x14ac:dyDescent="0.25">
      <c r="B248" s="79" t="s">
        <v>20</v>
      </c>
      <c r="C248" s="8">
        <v>0</v>
      </c>
      <c r="D248" s="9">
        <v>5</v>
      </c>
      <c r="E248" s="10">
        <f t="shared" si="24"/>
        <v>5</v>
      </c>
      <c r="F248" s="8">
        <v>2</v>
      </c>
      <c r="G248" s="7">
        <f t="shared" si="25"/>
        <v>2</v>
      </c>
      <c r="H248" s="8">
        <v>3</v>
      </c>
      <c r="I248" s="10">
        <f t="shared" si="26"/>
        <v>3</v>
      </c>
    </row>
    <row r="249" spans="2:9" x14ac:dyDescent="0.25">
      <c r="B249" s="79" t="s">
        <v>23</v>
      </c>
      <c r="C249" s="8">
        <v>0</v>
      </c>
      <c r="D249" s="9">
        <v>0</v>
      </c>
      <c r="E249" s="10">
        <f t="shared" si="24"/>
        <v>0</v>
      </c>
      <c r="F249" s="8">
        <v>2</v>
      </c>
      <c r="G249" s="7">
        <f t="shared" si="25"/>
        <v>2</v>
      </c>
      <c r="H249" s="8">
        <v>2</v>
      </c>
      <c r="I249" s="10">
        <f t="shared" si="26"/>
        <v>2</v>
      </c>
    </row>
    <row r="250" spans="2:9" x14ac:dyDescent="0.25">
      <c r="B250" s="79" t="s">
        <v>21</v>
      </c>
      <c r="C250" s="8">
        <v>0</v>
      </c>
      <c r="D250" s="9">
        <v>5</v>
      </c>
      <c r="E250" s="10">
        <f t="shared" si="24"/>
        <v>5</v>
      </c>
      <c r="F250" s="8">
        <v>0</v>
      </c>
      <c r="G250" s="7">
        <f t="shared" si="25"/>
        <v>0</v>
      </c>
      <c r="H250" s="8">
        <v>2</v>
      </c>
      <c r="I250" s="10">
        <f t="shared" si="26"/>
        <v>2</v>
      </c>
    </row>
    <row r="251" spans="2:9" x14ac:dyDescent="0.25">
      <c r="B251" s="79" t="s">
        <v>9</v>
      </c>
      <c r="C251" s="8">
        <v>0</v>
      </c>
      <c r="D251" s="9">
        <v>8</v>
      </c>
      <c r="E251" s="10">
        <f t="shared" si="24"/>
        <v>8</v>
      </c>
      <c r="F251" s="8">
        <v>8</v>
      </c>
      <c r="G251" s="7">
        <f t="shared" si="25"/>
        <v>8</v>
      </c>
      <c r="H251" s="8">
        <v>0</v>
      </c>
      <c r="I251" s="10">
        <f t="shared" si="26"/>
        <v>0</v>
      </c>
    </row>
    <row r="252" spans="2:9" ht="15.75" thickBot="1" x14ac:dyDescent="0.3">
      <c r="B252" s="80" t="s">
        <v>18</v>
      </c>
      <c r="C252" s="14">
        <v>0</v>
      </c>
      <c r="D252" s="40">
        <v>1</v>
      </c>
      <c r="E252" s="15">
        <f t="shared" si="24"/>
        <v>1</v>
      </c>
      <c r="F252" s="14">
        <v>0</v>
      </c>
      <c r="G252" s="7">
        <f t="shared" si="25"/>
        <v>0</v>
      </c>
      <c r="H252" s="14">
        <v>0</v>
      </c>
      <c r="I252" s="15">
        <f t="shared" si="26"/>
        <v>0</v>
      </c>
    </row>
    <row r="253" spans="2:9" ht="15.75" thickBot="1" x14ac:dyDescent="0.3">
      <c r="B253" s="81" t="s">
        <v>3</v>
      </c>
      <c r="C253" s="74">
        <v>0</v>
      </c>
      <c r="D253" s="75">
        <f t="shared" ref="D253:I253" si="27">SUM(D233:D252)</f>
        <v>322</v>
      </c>
      <c r="E253" s="76">
        <f t="shared" si="27"/>
        <v>322</v>
      </c>
      <c r="F253" s="82">
        <f t="shared" si="27"/>
        <v>1029</v>
      </c>
      <c r="G253" s="58">
        <f t="shared" si="27"/>
        <v>1029</v>
      </c>
      <c r="H253" s="16">
        <f t="shared" si="27"/>
        <v>1202</v>
      </c>
      <c r="I253" s="16">
        <f t="shared" si="27"/>
        <v>1202</v>
      </c>
    </row>
    <row r="254" spans="2:9" ht="15.75" thickTop="1" x14ac:dyDescent="0.25"/>
    <row r="255" spans="2:9" ht="15.75" thickBot="1" x14ac:dyDescent="0.3"/>
    <row r="256" spans="2:9" ht="16.5" thickTop="1" thickBot="1" x14ac:dyDescent="0.3">
      <c r="B256" s="198" t="s">
        <v>0</v>
      </c>
      <c r="C256" s="73" t="s">
        <v>71</v>
      </c>
      <c r="D256" s="73"/>
      <c r="E256" s="73"/>
      <c r="F256" s="194" t="s">
        <v>75</v>
      </c>
      <c r="G256" s="195"/>
      <c r="H256" s="196" t="s">
        <v>76</v>
      </c>
      <c r="I256" s="197"/>
    </row>
    <row r="257" spans="2:9" ht="15.75" thickBot="1" x14ac:dyDescent="0.3">
      <c r="B257" s="199"/>
      <c r="C257" s="74">
        <v>2021</v>
      </c>
      <c r="D257" s="75">
        <v>2022</v>
      </c>
      <c r="E257" s="76" t="s">
        <v>3</v>
      </c>
      <c r="F257" s="58" t="s">
        <v>67</v>
      </c>
      <c r="G257" s="59" t="s">
        <v>3</v>
      </c>
      <c r="H257" s="1">
        <v>2023</v>
      </c>
      <c r="I257" s="2" t="s">
        <v>3</v>
      </c>
    </row>
    <row r="258" spans="2:9" x14ac:dyDescent="0.25">
      <c r="B258" s="77" t="s">
        <v>15</v>
      </c>
      <c r="C258" s="3">
        <v>0</v>
      </c>
      <c r="D258" s="4">
        <v>4</v>
      </c>
      <c r="E258" s="5">
        <f t="shared" ref="E258:E277" si="28">+D258</f>
        <v>4</v>
      </c>
      <c r="F258" s="6">
        <v>923</v>
      </c>
      <c r="G258" s="7">
        <f t="shared" ref="G258:G277" si="29">+F258</f>
        <v>923</v>
      </c>
      <c r="H258" s="6">
        <v>848</v>
      </c>
      <c r="I258" s="7">
        <f t="shared" ref="I258:I277" si="30">+H258</f>
        <v>848</v>
      </c>
    </row>
    <row r="259" spans="2:9" x14ac:dyDescent="0.25">
      <c r="B259" s="78" t="s">
        <v>5</v>
      </c>
      <c r="C259" s="8">
        <v>0</v>
      </c>
      <c r="D259" s="9">
        <v>46</v>
      </c>
      <c r="E259" s="10">
        <f t="shared" si="28"/>
        <v>46</v>
      </c>
      <c r="F259" s="8">
        <v>47</v>
      </c>
      <c r="G259" s="10">
        <f t="shared" si="29"/>
        <v>47</v>
      </c>
      <c r="H259" s="8">
        <v>39</v>
      </c>
      <c r="I259" s="10">
        <f t="shared" si="30"/>
        <v>39</v>
      </c>
    </row>
    <row r="260" spans="2:9" x14ac:dyDescent="0.25">
      <c r="B260" s="79" t="s">
        <v>7</v>
      </c>
      <c r="C260" s="8">
        <v>0</v>
      </c>
      <c r="D260" s="9">
        <v>8</v>
      </c>
      <c r="E260" s="10">
        <f t="shared" si="28"/>
        <v>8</v>
      </c>
      <c r="F260" s="8">
        <v>39</v>
      </c>
      <c r="G260" s="10">
        <f t="shared" si="29"/>
        <v>39</v>
      </c>
      <c r="H260" s="8">
        <v>34</v>
      </c>
      <c r="I260" s="10">
        <f t="shared" si="30"/>
        <v>34</v>
      </c>
    </row>
    <row r="261" spans="2:9" x14ac:dyDescent="0.25">
      <c r="B261" s="78" t="s">
        <v>4</v>
      </c>
      <c r="C261" s="8">
        <v>0</v>
      </c>
      <c r="D261" s="9">
        <v>50</v>
      </c>
      <c r="E261" s="10">
        <f t="shared" si="28"/>
        <v>50</v>
      </c>
      <c r="F261" s="8">
        <v>33</v>
      </c>
      <c r="G261" s="10">
        <f t="shared" si="29"/>
        <v>33</v>
      </c>
      <c r="H261" s="8">
        <v>33</v>
      </c>
      <c r="I261" s="10">
        <f t="shared" si="30"/>
        <v>33</v>
      </c>
    </row>
    <row r="262" spans="2:9" x14ac:dyDescent="0.25">
      <c r="B262" s="79" t="s">
        <v>11</v>
      </c>
      <c r="C262" s="8">
        <v>0</v>
      </c>
      <c r="D262" s="9">
        <v>5</v>
      </c>
      <c r="E262" s="10">
        <f t="shared" si="28"/>
        <v>5</v>
      </c>
      <c r="F262" s="8">
        <v>33</v>
      </c>
      <c r="G262" s="10">
        <f t="shared" si="29"/>
        <v>33</v>
      </c>
      <c r="H262" s="8">
        <v>33</v>
      </c>
      <c r="I262" s="10">
        <f t="shared" si="30"/>
        <v>33</v>
      </c>
    </row>
    <row r="263" spans="2:9" x14ac:dyDescent="0.25">
      <c r="B263" s="79" t="s">
        <v>19</v>
      </c>
      <c r="C263" s="8">
        <v>0</v>
      </c>
      <c r="D263" s="9">
        <v>24</v>
      </c>
      <c r="E263" s="10">
        <f t="shared" si="28"/>
        <v>24</v>
      </c>
      <c r="F263" s="8">
        <v>20</v>
      </c>
      <c r="G263" s="10">
        <f t="shared" si="29"/>
        <v>20</v>
      </c>
      <c r="H263" s="8">
        <v>21</v>
      </c>
      <c r="I263" s="10">
        <f t="shared" si="30"/>
        <v>21</v>
      </c>
    </row>
    <row r="264" spans="2:9" x14ac:dyDescent="0.25">
      <c r="B264" s="79" t="s">
        <v>12</v>
      </c>
      <c r="C264" s="8">
        <v>0</v>
      </c>
      <c r="D264" s="9">
        <v>10</v>
      </c>
      <c r="E264" s="10">
        <f t="shared" si="28"/>
        <v>10</v>
      </c>
      <c r="F264" s="8">
        <v>25</v>
      </c>
      <c r="G264" s="10">
        <f t="shared" si="29"/>
        <v>25</v>
      </c>
      <c r="H264" s="8">
        <v>16</v>
      </c>
      <c r="I264" s="10">
        <f t="shared" si="30"/>
        <v>16</v>
      </c>
    </row>
    <row r="265" spans="2:9" x14ac:dyDescent="0.25">
      <c r="B265" s="79" t="s">
        <v>16</v>
      </c>
      <c r="C265" s="8">
        <v>0</v>
      </c>
      <c r="D265" s="9">
        <v>14</v>
      </c>
      <c r="E265" s="10">
        <f t="shared" si="28"/>
        <v>14</v>
      </c>
      <c r="F265" s="8">
        <v>13</v>
      </c>
      <c r="G265" s="10">
        <f t="shared" si="29"/>
        <v>13</v>
      </c>
      <c r="H265" s="8">
        <v>11</v>
      </c>
      <c r="I265" s="10">
        <f t="shared" si="30"/>
        <v>11</v>
      </c>
    </row>
    <row r="266" spans="2:9" x14ac:dyDescent="0.25">
      <c r="B266" s="79" t="s">
        <v>22</v>
      </c>
      <c r="C266" s="8">
        <v>0</v>
      </c>
      <c r="D266" s="9">
        <v>4</v>
      </c>
      <c r="E266" s="10">
        <f t="shared" si="28"/>
        <v>4</v>
      </c>
      <c r="F266" s="8">
        <v>7</v>
      </c>
      <c r="G266" s="10">
        <f t="shared" si="29"/>
        <v>7</v>
      </c>
      <c r="H266" s="8">
        <v>9</v>
      </c>
      <c r="I266" s="10">
        <f t="shared" si="30"/>
        <v>9</v>
      </c>
    </row>
    <row r="267" spans="2:9" x14ac:dyDescent="0.25">
      <c r="B267" s="79" t="s">
        <v>14</v>
      </c>
      <c r="C267" s="8">
        <v>0</v>
      </c>
      <c r="D267" s="9">
        <v>8</v>
      </c>
      <c r="E267" s="10">
        <f t="shared" si="28"/>
        <v>8</v>
      </c>
      <c r="F267" s="8">
        <v>10</v>
      </c>
      <c r="G267" s="10">
        <f t="shared" si="29"/>
        <v>10</v>
      </c>
      <c r="H267" s="8">
        <v>8</v>
      </c>
      <c r="I267" s="10">
        <f t="shared" si="30"/>
        <v>8</v>
      </c>
    </row>
    <row r="268" spans="2:9" x14ac:dyDescent="0.25">
      <c r="B268" s="79" t="s">
        <v>6</v>
      </c>
      <c r="C268" s="8">
        <v>0</v>
      </c>
      <c r="D268" s="9">
        <v>62</v>
      </c>
      <c r="E268" s="10">
        <f t="shared" si="28"/>
        <v>62</v>
      </c>
      <c r="F268" s="8">
        <v>11</v>
      </c>
      <c r="G268" s="10">
        <f t="shared" si="29"/>
        <v>11</v>
      </c>
      <c r="H268" s="8">
        <v>5</v>
      </c>
      <c r="I268" s="10">
        <f t="shared" si="30"/>
        <v>5</v>
      </c>
    </row>
    <row r="269" spans="2:9" x14ac:dyDescent="0.25">
      <c r="B269" s="79" t="s">
        <v>10</v>
      </c>
      <c r="C269" s="8">
        <v>0</v>
      </c>
      <c r="D269" s="9">
        <v>25</v>
      </c>
      <c r="E269" s="10">
        <f t="shared" si="28"/>
        <v>25</v>
      </c>
      <c r="F269" s="8">
        <v>11</v>
      </c>
      <c r="G269" s="10">
        <f t="shared" si="29"/>
        <v>11</v>
      </c>
      <c r="H269" s="8">
        <v>5</v>
      </c>
      <c r="I269" s="10">
        <f t="shared" si="30"/>
        <v>5</v>
      </c>
    </row>
    <row r="270" spans="2:9" x14ac:dyDescent="0.25">
      <c r="B270" s="79" t="s">
        <v>8</v>
      </c>
      <c r="C270" s="8">
        <v>0</v>
      </c>
      <c r="D270" s="9">
        <v>9</v>
      </c>
      <c r="E270" s="10">
        <f t="shared" si="28"/>
        <v>9</v>
      </c>
      <c r="F270" s="8">
        <v>10</v>
      </c>
      <c r="G270" s="10">
        <f t="shared" si="29"/>
        <v>10</v>
      </c>
      <c r="H270" s="8">
        <v>5</v>
      </c>
      <c r="I270" s="10">
        <f t="shared" si="30"/>
        <v>5</v>
      </c>
    </row>
    <row r="271" spans="2:9" x14ac:dyDescent="0.25">
      <c r="B271" s="79" t="s">
        <v>23</v>
      </c>
      <c r="C271" s="8">
        <v>0</v>
      </c>
      <c r="D271" s="9">
        <v>0</v>
      </c>
      <c r="E271" s="10">
        <f t="shared" si="28"/>
        <v>0</v>
      </c>
      <c r="F271" s="8">
        <v>2</v>
      </c>
      <c r="G271" s="10">
        <f t="shared" si="29"/>
        <v>2</v>
      </c>
      <c r="H271" s="8">
        <v>4</v>
      </c>
      <c r="I271" s="10">
        <f t="shared" si="30"/>
        <v>4</v>
      </c>
    </row>
    <row r="272" spans="2:9" x14ac:dyDescent="0.25">
      <c r="B272" s="79" t="s">
        <v>20</v>
      </c>
      <c r="C272" s="8">
        <v>0</v>
      </c>
      <c r="D272" s="9">
        <v>5</v>
      </c>
      <c r="E272" s="10">
        <f t="shared" si="28"/>
        <v>5</v>
      </c>
      <c r="F272" s="8">
        <v>3</v>
      </c>
      <c r="G272" s="10">
        <f t="shared" si="29"/>
        <v>3</v>
      </c>
      <c r="H272" s="8">
        <v>3</v>
      </c>
      <c r="I272" s="10">
        <f t="shared" si="30"/>
        <v>3</v>
      </c>
    </row>
    <row r="273" spans="2:9" x14ac:dyDescent="0.25">
      <c r="B273" s="79" t="s">
        <v>9</v>
      </c>
      <c r="C273" s="8">
        <v>0</v>
      </c>
      <c r="D273" s="9">
        <v>8</v>
      </c>
      <c r="E273" s="10">
        <f t="shared" si="28"/>
        <v>8</v>
      </c>
      <c r="F273" s="8">
        <v>0</v>
      </c>
      <c r="G273" s="10">
        <f t="shared" si="29"/>
        <v>0</v>
      </c>
      <c r="H273" s="8">
        <v>3</v>
      </c>
      <c r="I273" s="10">
        <f t="shared" si="30"/>
        <v>3</v>
      </c>
    </row>
    <row r="274" spans="2:9" x14ac:dyDescent="0.25">
      <c r="B274" s="79" t="s">
        <v>13</v>
      </c>
      <c r="C274" s="8">
        <v>0</v>
      </c>
      <c r="D274" s="9">
        <v>24</v>
      </c>
      <c r="E274" s="10">
        <f t="shared" si="28"/>
        <v>24</v>
      </c>
      <c r="F274" s="8">
        <v>8</v>
      </c>
      <c r="G274" s="10">
        <f t="shared" si="29"/>
        <v>8</v>
      </c>
      <c r="H274" s="8">
        <v>2</v>
      </c>
      <c r="I274" s="10">
        <f t="shared" si="30"/>
        <v>2</v>
      </c>
    </row>
    <row r="275" spans="2:9" x14ac:dyDescent="0.25">
      <c r="B275" s="79" t="s">
        <v>21</v>
      </c>
      <c r="C275" s="8">
        <v>0</v>
      </c>
      <c r="D275" s="9">
        <v>5</v>
      </c>
      <c r="E275" s="10">
        <f t="shared" si="28"/>
        <v>5</v>
      </c>
      <c r="F275" s="8">
        <v>2</v>
      </c>
      <c r="G275" s="10">
        <f t="shared" si="29"/>
        <v>2</v>
      </c>
      <c r="H275" s="8">
        <v>1</v>
      </c>
      <c r="I275" s="10">
        <f t="shared" si="30"/>
        <v>1</v>
      </c>
    </row>
    <row r="276" spans="2:9" x14ac:dyDescent="0.25">
      <c r="B276" s="79" t="s">
        <v>17</v>
      </c>
      <c r="C276" s="8">
        <v>0</v>
      </c>
      <c r="D276" s="9">
        <v>10</v>
      </c>
      <c r="E276" s="10">
        <f t="shared" si="28"/>
        <v>10</v>
      </c>
      <c r="F276" s="8">
        <v>5</v>
      </c>
      <c r="G276" s="10">
        <f t="shared" si="29"/>
        <v>5</v>
      </c>
      <c r="H276" s="8">
        <v>0</v>
      </c>
      <c r="I276" s="10">
        <f t="shared" si="30"/>
        <v>0</v>
      </c>
    </row>
    <row r="277" spans="2:9" ht="15.75" thickBot="1" x14ac:dyDescent="0.3">
      <c r="B277" s="80" t="s">
        <v>18</v>
      </c>
      <c r="C277" s="14">
        <v>0</v>
      </c>
      <c r="D277" s="40">
        <v>1</v>
      </c>
      <c r="E277" s="15">
        <f t="shared" si="28"/>
        <v>1</v>
      </c>
      <c r="F277" s="14">
        <v>0</v>
      </c>
      <c r="G277" s="15">
        <f t="shared" si="29"/>
        <v>0</v>
      </c>
      <c r="H277" s="14">
        <v>0</v>
      </c>
      <c r="I277" s="15">
        <f t="shared" si="30"/>
        <v>0</v>
      </c>
    </row>
    <row r="278" spans="2:9" ht="15.75" thickBot="1" x14ac:dyDescent="0.3">
      <c r="B278" s="81" t="s">
        <v>3</v>
      </c>
      <c r="C278" s="74">
        <v>0</v>
      </c>
      <c r="D278" s="75">
        <f t="shared" ref="D278:I278" si="31">SUM(D258:D277)</f>
        <v>322</v>
      </c>
      <c r="E278" s="76">
        <f t="shared" si="31"/>
        <v>322</v>
      </c>
      <c r="F278" s="82">
        <f t="shared" si="31"/>
        <v>1202</v>
      </c>
      <c r="G278" s="58">
        <f t="shared" si="31"/>
        <v>1202</v>
      </c>
      <c r="H278" s="16">
        <f t="shared" si="31"/>
        <v>1080</v>
      </c>
      <c r="I278" s="16">
        <f t="shared" si="31"/>
        <v>1080</v>
      </c>
    </row>
    <row r="279" spans="2:9" ht="15.75" thickTop="1" x14ac:dyDescent="0.25"/>
    <row r="280" spans="2:9" ht="15.75" thickBot="1" x14ac:dyDescent="0.3"/>
    <row r="281" spans="2:9" ht="16.5" thickTop="1" thickBot="1" x14ac:dyDescent="0.3">
      <c r="B281" s="198" t="s">
        <v>0</v>
      </c>
      <c r="C281" s="73" t="s">
        <v>71</v>
      </c>
      <c r="D281" s="73"/>
      <c r="E281" s="73"/>
      <c r="F281" s="194" t="s">
        <v>76</v>
      </c>
      <c r="G281" s="195"/>
      <c r="H281" s="196" t="s">
        <v>77</v>
      </c>
      <c r="I281" s="197"/>
    </row>
    <row r="282" spans="2:9" ht="15.75" thickBot="1" x14ac:dyDescent="0.3">
      <c r="B282" s="199"/>
      <c r="C282" s="74">
        <v>2021</v>
      </c>
      <c r="D282" s="75">
        <v>2022</v>
      </c>
      <c r="E282" s="76" t="s">
        <v>3</v>
      </c>
      <c r="F282" s="58" t="s">
        <v>67</v>
      </c>
      <c r="G282" s="59" t="s">
        <v>3</v>
      </c>
      <c r="H282" s="1">
        <v>2023</v>
      </c>
      <c r="I282" s="2" t="s">
        <v>3</v>
      </c>
    </row>
    <row r="283" spans="2:9" x14ac:dyDescent="0.25">
      <c r="B283" s="77" t="s">
        <v>15</v>
      </c>
      <c r="C283" s="3">
        <v>0</v>
      </c>
      <c r="D283" s="4">
        <v>4</v>
      </c>
      <c r="E283" s="5">
        <f t="shared" ref="E283:E302" si="32">+D283</f>
        <v>4</v>
      </c>
      <c r="F283" s="6">
        <v>848</v>
      </c>
      <c r="G283" s="7">
        <f t="shared" ref="G283:G302" si="33">+F283</f>
        <v>848</v>
      </c>
      <c r="H283" s="6">
        <v>733</v>
      </c>
      <c r="I283" s="7">
        <f t="shared" ref="I283:I302" si="34">+H283</f>
        <v>733</v>
      </c>
    </row>
    <row r="284" spans="2:9" x14ac:dyDescent="0.25">
      <c r="B284" s="78" t="s">
        <v>5</v>
      </c>
      <c r="C284" s="8">
        <v>0</v>
      </c>
      <c r="D284" s="9">
        <v>46</v>
      </c>
      <c r="E284" s="10">
        <f t="shared" si="32"/>
        <v>46</v>
      </c>
      <c r="F284" s="8">
        <v>39</v>
      </c>
      <c r="G284" s="10">
        <f t="shared" si="33"/>
        <v>39</v>
      </c>
      <c r="H284" s="8">
        <v>47</v>
      </c>
      <c r="I284" s="10">
        <f t="shared" si="34"/>
        <v>47</v>
      </c>
    </row>
    <row r="285" spans="2:9" x14ac:dyDescent="0.25">
      <c r="B285" s="79" t="s">
        <v>4</v>
      </c>
      <c r="C285" s="8">
        <v>0</v>
      </c>
      <c r="D285" s="9">
        <v>50</v>
      </c>
      <c r="E285" s="10">
        <f t="shared" si="32"/>
        <v>50</v>
      </c>
      <c r="F285" s="8">
        <v>33</v>
      </c>
      <c r="G285" s="10">
        <f t="shared" si="33"/>
        <v>33</v>
      </c>
      <c r="H285" s="8">
        <v>37</v>
      </c>
      <c r="I285" s="10">
        <f t="shared" si="34"/>
        <v>37</v>
      </c>
    </row>
    <row r="286" spans="2:9" x14ac:dyDescent="0.25">
      <c r="B286" s="78" t="s">
        <v>11</v>
      </c>
      <c r="C286" s="8">
        <v>0</v>
      </c>
      <c r="D286" s="9">
        <v>5</v>
      </c>
      <c r="E286" s="10">
        <f t="shared" si="32"/>
        <v>5</v>
      </c>
      <c r="F286" s="8">
        <v>33</v>
      </c>
      <c r="G286" s="10">
        <f t="shared" si="33"/>
        <v>33</v>
      </c>
      <c r="H286" s="8">
        <v>28</v>
      </c>
      <c r="I286" s="10">
        <f t="shared" si="34"/>
        <v>28</v>
      </c>
    </row>
    <row r="287" spans="2:9" x14ac:dyDescent="0.25">
      <c r="B287" s="79" t="s">
        <v>7</v>
      </c>
      <c r="C287" s="8">
        <v>0</v>
      </c>
      <c r="D287" s="9">
        <v>8</v>
      </c>
      <c r="E287" s="10">
        <f t="shared" si="32"/>
        <v>8</v>
      </c>
      <c r="F287" s="8">
        <v>34</v>
      </c>
      <c r="G287" s="10">
        <f t="shared" si="33"/>
        <v>34</v>
      </c>
      <c r="H287" s="8">
        <v>21</v>
      </c>
      <c r="I287" s="10">
        <f t="shared" si="34"/>
        <v>21</v>
      </c>
    </row>
    <row r="288" spans="2:9" x14ac:dyDescent="0.25">
      <c r="B288" s="79" t="s">
        <v>19</v>
      </c>
      <c r="C288" s="8">
        <v>0</v>
      </c>
      <c r="D288" s="9">
        <v>24</v>
      </c>
      <c r="E288" s="10">
        <f t="shared" si="32"/>
        <v>24</v>
      </c>
      <c r="F288" s="8">
        <v>21</v>
      </c>
      <c r="G288" s="10">
        <f t="shared" si="33"/>
        <v>21</v>
      </c>
      <c r="H288" s="8">
        <v>16</v>
      </c>
      <c r="I288" s="10">
        <f t="shared" si="34"/>
        <v>16</v>
      </c>
    </row>
    <row r="289" spans="2:9" x14ac:dyDescent="0.25">
      <c r="B289" s="79" t="s">
        <v>12</v>
      </c>
      <c r="C289" s="8">
        <v>0</v>
      </c>
      <c r="D289" s="9">
        <v>10</v>
      </c>
      <c r="E289" s="10">
        <f t="shared" si="32"/>
        <v>10</v>
      </c>
      <c r="F289" s="8">
        <v>16</v>
      </c>
      <c r="G289" s="10">
        <f t="shared" si="33"/>
        <v>16</v>
      </c>
      <c r="H289" s="8">
        <v>15</v>
      </c>
      <c r="I289" s="10">
        <f t="shared" si="34"/>
        <v>15</v>
      </c>
    </row>
    <row r="290" spans="2:9" x14ac:dyDescent="0.25">
      <c r="B290" s="79" t="s">
        <v>16</v>
      </c>
      <c r="C290" s="8">
        <v>0</v>
      </c>
      <c r="D290" s="9">
        <v>14</v>
      </c>
      <c r="E290" s="10">
        <f t="shared" si="32"/>
        <v>14</v>
      </c>
      <c r="F290" s="8">
        <v>11</v>
      </c>
      <c r="G290" s="10">
        <f t="shared" si="33"/>
        <v>11</v>
      </c>
      <c r="H290" s="8">
        <v>10</v>
      </c>
      <c r="I290" s="10">
        <f t="shared" si="34"/>
        <v>10</v>
      </c>
    </row>
    <row r="291" spans="2:9" x14ac:dyDescent="0.25">
      <c r="B291" s="79" t="s">
        <v>8</v>
      </c>
      <c r="C291" s="8">
        <v>0</v>
      </c>
      <c r="D291" s="9">
        <v>9</v>
      </c>
      <c r="E291" s="10">
        <f t="shared" si="32"/>
        <v>9</v>
      </c>
      <c r="F291" s="8">
        <v>5</v>
      </c>
      <c r="G291" s="10">
        <f t="shared" si="33"/>
        <v>5</v>
      </c>
      <c r="H291" s="8">
        <v>10</v>
      </c>
      <c r="I291" s="10">
        <f t="shared" si="34"/>
        <v>10</v>
      </c>
    </row>
    <row r="292" spans="2:9" x14ac:dyDescent="0.25">
      <c r="B292" s="79" t="s">
        <v>14</v>
      </c>
      <c r="C292" s="8">
        <v>0</v>
      </c>
      <c r="D292" s="9">
        <v>8</v>
      </c>
      <c r="E292" s="10">
        <f t="shared" si="32"/>
        <v>8</v>
      </c>
      <c r="F292" s="8">
        <v>8</v>
      </c>
      <c r="G292" s="10">
        <f t="shared" si="33"/>
        <v>8</v>
      </c>
      <c r="H292" s="8">
        <v>9</v>
      </c>
      <c r="I292" s="10">
        <f t="shared" si="34"/>
        <v>9</v>
      </c>
    </row>
    <row r="293" spans="2:9" x14ac:dyDescent="0.25">
      <c r="B293" s="79" t="s">
        <v>10</v>
      </c>
      <c r="C293" s="8">
        <v>0</v>
      </c>
      <c r="D293" s="9">
        <v>25</v>
      </c>
      <c r="E293" s="10">
        <f t="shared" si="32"/>
        <v>25</v>
      </c>
      <c r="F293" s="8">
        <v>5</v>
      </c>
      <c r="G293" s="10">
        <f t="shared" si="33"/>
        <v>5</v>
      </c>
      <c r="H293" s="8">
        <v>7</v>
      </c>
      <c r="I293" s="10">
        <f t="shared" si="34"/>
        <v>7</v>
      </c>
    </row>
    <row r="294" spans="2:9" x14ac:dyDescent="0.25">
      <c r="B294" s="79" t="s">
        <v>22</v>
      </c>
      <c r="C294" s="8">
        <v>0</v>
      </c>
      <c r="D294" s="9">
        <v>4</v>
      </c>
      <c r="E294" s="10">
        <f t="shared" si="32"/>
        <v>4</v>
      </c>
      <c r="F294" s="8">
        <v>9</v>
      </c>
      <c r="G294" s="10">
        <f t="shared" si="33"/>
        <v>9</v>
      </c>
      <c r="H294" s="8">
        <v>6</v>
      </c>
      <c r="I294" s="10">
        <f t="shared" si="34"/>
        <v>6</v>
      </c>
    </row>
    <row r="295" spans="2:9" x14ac:dyDescent="0.25">
      <c r="B295" s="79" t="s">
        <v>6</v>
      </c>
      <c r="C295" s="8">
        <v>0</v>
      </c>
      <c r="D295" s="9">
        <v>62</v>
      </c>
      <c r="E295" s="10">
        <f t="shared" si="32"/>
        <v>62</v>
      </c>
      <c r="F295" s="8">
        <v>5</v>
      </c>
      <c r="G295" s="10">
        <f t="shared" si="33"/>
        <v>5</v>
      </c>
      <c r="H295" s="8">
        <v>4</v>
      </c>
      <c r="I295" s="10">
        <f t="shared" si="34"/>
        <v>4</v>
      </c>
    </row>
    <row r="296" spans="2:9" x14ac:dyDescent="0.25">
      <c r="B296" s="79" t="s">
        <v>9</v>
      </c>
      <c r="C296" s="8">
        <v>0</v>
      </c>
      <c r="D296" s="9">
        <v>8</v>
      </c>
      <c r="E296" s="10">
        <f t="shared" si="32"/>
        <v>8</v>
      </c>
      <c r="F296" s="8">
        <v>3</v>
      </c>
      <c r="G296" s="10">
        <f t="shared" si="33"/>
        <v>3</v>
      </c>
      <c r="H296" s="8">
        <v>4</v>
      </c>
      <c r="I296" s="10">
        <f t="shared" si="34"/>
        <v>4</v>
      </c>
    </row>
    <row r="297" spans="2:9" x14ac:dyDescent="0.25">
      <c r="B297" s="79" t="s">
        <v>17</v>
      </c>
      <c r="C297" s="8">
        <v>0</v>
      </c>
      <c r="D297" s="9">
        <v>10</v>
      </c>
      <c r="E297" s="10">
        <f t="shared" si="32"/>
        <v>10</v>
      </c>
      <c r="F297" s="8">
        <v>0</v>
      </c>
      <c r="G297" s="10">
        <f t="shared" si="33"/>
        <v>0</v>
      </c>
      <c r="H297" s="8">
        <v>3</v>
      </c>
      <c r="I297" s="10">
        <f t="shared" si="34"/>
        <v>3</v>
      </c>
    </row>
    <row r="298" spans="2:9" x14ac:dyDescent="0.25">
      <c r="B298" s="79" t="s">
        <v>20</v>
      </c>
      <c r="C298" s="8">
        <v>0</v>
      </c>
      <c r="D298" s="9">
        <v>5</v>
      </c>
      <c r="E298" s="10">
        <f t="shared" si="32"/>
        <v>5</v>
      </c>
      <c r="F298" s="8">
        <v>3</v>
      </c>
      <c r="G298" s="10">
        <f t="shared" si="33"/>
        <v>3</v>
      </c>
      <c r="H298" s="8">
        <v>2</v>
      </c>
      <c r="I298" s="10">
        <f t="shared" si="34"/>
        <v>2</v>
      </c>
    </row>
    <row r="299" spans="2:9" x14ac:dyDescent="0.25">
      <c r="B299" s="79" t="s">
        <v>23</v>
      </c>
      <c r="C299" s="8">
        <v>0</v>
      </c>
      <c r="D299" s="9">
        <v>0</v>
      </c>
      <c r="E299" s="10">
        <f t="shared" si="32"/>
        <v>0</v>
      </c>
      <c r="F299" s="8">
        <v>4</v>
      </c>
      <c r="G299" s="10">
        <f t="shared" si="33"/>
        <v>4</v>
      </c>
      <c r="H299" s="8">
        <v>1</v>
      </c>
      <c r="I299" s="10">
        <f t="shared" si="34"/>
        <v>1</v>
      </c>
    </row>
    <row r="300" spans="2:9" x14ac:dyDescent="0.25">
      <c r="B300" s="79" t="s">
        <v>21</v>
      </c>
      <c r="C300" s="8">
        <v>0</v>
      </c>
      <c r="D300" s="9">
        <v>5</v>
      </c>
      <c r="E300" s="10">
        <f t="shared" si="32"/>
        <v>5</v>
      </c>
      <c r="F300" s="8">
        <v>1</v>
      </c>
      <c r="G300" s="10">
        <f t="shared" si="33"/>
        <v>1</v>
      </c>
      <c r="H300" s="8">
        <v>1</v>
      </c>
      <c r="I300" s="10">
        <f t="shared" si="34"/>
        <v>1</v>
      </c>
    </row>
    <row r="301" spans="2:9" x14ac:dyDescent="0.25">
      <c r="B301" s="79" t="s">
        <v>13</v>
      </c>
      <c r="C301" s="8">
        <v>0</v>
      </c>
      <c r="D301" s="9">
        <v>24</v>
      </c>
      <c r="E301" s="10">
        <f t="shared" si="32"/>
        <v>24</v>
      </c>
      <c r="F301" s="8">
        <v>2</v>
      </c>
      <c r="G301" s="10">
        <f t="shared" si="33"/>
        <v>2</v>
      </c>
      <c r="H301" s="8">
        <v>0</v>
      </c>
      <c r="I301" s="10">
        <f t="shared" si="34"/>
        <v>0</v>
      </c>
    </row>
    <row r="302" spans="2:9" ht="15.75" thickBot="1" x14ac:dyDescent="0.3">
      <c r="B302" s="80" t="s">
        <v>18</v>
      </c>
      <c r="C302" s="14">
        <v>0</v>
      </c>
      <c r="D302" s="40">
        <v>1</v>
      </c>
      <c r="E302" s="15">
        <f t="shared" si="32"/>
        <v>1</v>
      </c>
      <c r="F302" s="14">
        <v>0</v>
      </c>
      <c r="G302" s="15">
        <f t="shared" si="33"/>
        <v>0</v>
      </c>
      <c r="H302" s="14">
        <v>0</v>
      </c>
      <c r="I302" s="15">
        <f t="shared" si="34"/>
        <v>0</v>
      </c>
    </row>
    <row r="303" spans="2:9" ht="15.75" thickBot="1" x14ac:dyDescent="0.3">
      <c r="B303" s="81" t="s">
        <v>3</v>
      </c>
      <c r="C303" s="74">
        <v>0</v>
      </c>
      <c r="D303" s="75">
        <f t="shared" ref="D303:I303" si="35">SUM(D283:D302)</f>
        <v>322</v>
      </c>
      <c r="E303" s="76">
        <f t="shared" si="35"/>
        <v>322</v>
      </c>
      <c r="F303" s="82">
        <f t="shared" si="35"/>
        <v>1080</v>
      </c>
      <c r="G303" s="58">
        <f t="shared" si="35"/>
        <v>1080</v>
      </c>
      <c r="H303" s="16">
        <f t="shared" si="35"/>
        <v>954</v>
      </c>
      <c r="I303" s="16">
        <f t="shared" si="35"/>
        <v>954</v>
      </c>
    </row>
    <row r="304" spans="2:9" ht="15.75" thickTop="1" x14ac:dyDescent="0.25"/>
    <row r="305" spans="2:9" ht="15.75" thickBot="1" x14ac:dyDescent="0.3"/>
    <row r="306" spans="2:9" ht="16.5" thickTop="1" thickBot="1" x14ac:dyDescent="0.3">
      <c r="B306" s="48" t="s">
        <v>0</v>
      </c>
      <c r="C306" s="73" t="s">
        <v>71</v>
      </c>
      <c r="D306" s="73"/>
      <c r="E306" s="73"/>
      <c r="F306" s="44" t="s">
        <v>77</v>
      </c>
      <c r="G306" s="45"/>
      <c r="H306" s="46" t="s">
        <v>78</v>
      </c>
      <c r="I306" s="47"/>
    </row>
    <row r="307" spans="2:9" ht="15.75" thickBot="1" x14ac:dyDescent="0.3">
      <c r="B307" s="49"/>
      <c r="C307" s="74">
        <v>2021</v>
      </c>
      <c r="D307" s="75">
        <v>2022</v>
      </c>
      <c r="E307" s="76" t="s">
        <v>3</v>
      </c>
      <c r="F307" s="58" t="s">
        <v>67</v>
      </c>
      <c r="G307" s="59" t="s">
        <v>3</v>
      </c>
      <c r="H307" s="1">
        <v>2023</v>
      </c>
      <c r="I307" s="2" t="s">
        <v>3</v>
      </c>
    </row>
    <row r="308" spans="2:9" x14ac:dyDescent="0.25">
      <c r="B308" s="77" t="s">
        <v>15</v>
      </c>
      <c r="C308" s="3">
        <v>0</v>
      </c>
      <c r="D308" s="4">
        <v>4</v>
      </c>
      <c r="E308" s="5">
        <f t="shared" ref="E308:E327" si="36">+D308</f>
        <v>4</v>
      </c>
      <c r="F308" s="6">
        <v>733</v>
      </c>
      <c r="G308" s="7">
        <f t="shared" ref="G308:G327" si="37">+F308</f>
        <v>733</v>
      </c>
      <c r="H308" s="6">
        <v>555</v>
      </c>
      <c r="I308" s="7">
        <f t="shared" ref="I308:I327" si="38">+H308</f>
        <v>555</v>
      </c>
    </row>
    <row r="309" spans="2:9" x14ac:dyDescent="0.25">
      <c r="B309" s="78" t="s">
        <v>5</v>
      </c>
      <c r="C309" s="8">
        <v>0</v>
      </c>
      <c r="D309" s="9">
        <v>46</v>
      </c>
      <c r="E309" s="10">
        <f t="shared" si="36"/>
        <v>46</v>
      </c>
      <c r="F309" s="8">
        <v>47</v>
      </c>
      <c r="G309" s="10">
        <f t="shared" si="37"/>
        <v>47</v>
      </c>
      <c r="H309" s="8">
        <v>50</v>
      </c>
      <c r="I309" s="10">
        <f t="shared" si="38"/>
        <v>50</v>
      </c>
    </row>
    <row r="310" spans="2:9" x14ac:dyDescent="0.25">
      <c r="B310" s="79" t="s">
        <v>4</v>
      </c>
      <c r="C310" s="8">
        <v>0</v>
      </c>
      <c r="D310" s="9">
        <v>50</v>
      </c>
      <c r="E310" s="10">
        <f t="shared" si="36"/>
        <v>50</v>
      </c>
      <c r="F310" s="8">
        <v>37</v>
      </c>
      <c r="G310" s="10">
        <f t="shared" si="37"/>
        <v>37</v>
      </c>
      <c r="H310" s="8">
        <v>40</v>
      </c>
      <c r="I310" s="10">
        <f t="shared" si="38"/>
        <v>40</v>
      </c>
    </row>
    <row r="311" spans="2:9" x14ac:dyDescent="0.25">
      <c r="B311" s="78" t="s">
        <v>11</v>
      </c>
      <c r="C311" s="8">
        <v>0</v>
      </c>
      <c r="D311" s="9">
        <v>5</v>
      </c>
      <c r="E311" s="10">
        <f t="shared" si="36"/>
        <v>5</v>
      </c>
      <c r="F311" s="8">
        <v>28</v>
      </c>
      <c r="G311" s="10">
        <f t="shared" si="37"/>
        <v>28</v>
      </c>
      <c r="H311" s="8">
        <v>22</v>
      </c>
      <c r="I311" s="10">
        <f t="shared" si="38"/>
        <v>22</v>
      </c>
    </row>
    <row r="312" spans="2:9" x14ac:dyDescent="0.25">
      <c r="B312" s="79" t="s">
        <v>19</v>
      </c>
      <c r="C312" s="8">
        <v>0</v>
      </c>
      <c r="D312" s="9">
        <v>24</v>
      </c>
      <c r="E312" s="10">
        <f t="shared" si="36"/>
        <v>24</v>
      </c>
      <c r="F312" s="8">
        <v>16</v>
      </c>
      <c r="G312" s="10">
        <f t="shared" si="37"/>
        <v>16</v>
      </c>
      <c r="H312" s="8">
        <v>14</v>
      </c>
      <c r="I312" s="10">
        <f t="shared" si="38"/>
        <v>14</v>
      </c>
    </row>
    <row r="313" spans="2:9" x14ac:dyDescent="0.25">
      <c r="B313" s="79" t="s">
        <v>16</v>
      </c>
      <c r="C313" s="8">
        <v>0</v>
      </c>
      <c r="D313" s="9">
        <v>14</v>
      </c>
      <c r="E313" s="10">
        <f t="shared" si="36"/>
        <v>14</v>
      </c>
      <c r="F313" s="8">
        <v>10</v>
      </c>
      <c r="G313" s="10">
        <f t="shared" si="37"/>
        <v>10</v>
      </c>
      <c r="H313" s="8">
        <v>12</v>
      </c>
      <c r="I313" s="10">
        <f t="shared" si="38"/>
        <v>12</v>
      </c>
    </row>
    <row r="314" spans="2:9" x14ac:dyDescent="0.25">
      <c r="B314" s="79" t="s">
        <v>12</v>
      </c>
      <c r="C314" s="8">
        <v>0</v>
      </c>
      <c r="D314" s="9">
        <v>10</v>
      </c>
      <c r="E314" s="10">
        <f t="shared" si="36"/>
        <v>10</v>
      </c>
      <c r="F314" s="8">
        <v>15</v>
      </c>
      <c r="G314" s="10">
        <f t="shared" si="37"/>
        <v>15</v>
      </c>
      <c r="H314" s="8">
        <v>11</v>
      </c>
      <c r="I314" s="10">
        <f t="shared" si="38"/>
        <v>11</v>
      </c>
    </row>
    <row r="315" spans="2:9" x14ac:dyDescent="0.25">
      <c r="B315" s="79" t="s">
        <v>14</v>
      </c>
      <c r="C315" s="8">
        <v>0</v>
      </c>
      <c r="D315" s="9">
        <v>8</v>
      </c>
      <c r="E315" s="10">
        <f t="shared" si="36"/>
        <v>8</v>
      </c>
      <c r="F315" s="8">
        <v>9</v>
      </c>
      <c r="G315" s="10">
        <f t="shared" si="37"/>
        <v>9</v>
      </c>
      <c r="H315" s="8">
        <v>10</v>
      </c>
      <c r="I315" s="10">
        <f t="shared" si="38"/>
        <v>10</v>
      </c>
    </row>
    <row r="316" spans="2:9" x14ac:dyDescent="0.25">
      <c r="B316" s="79" t="s">
        <v>9</v>
      </c>
      <c r="C316" s="8">
        <v>0</v>
      </c>
      <c r="D316" s="9">
        <v>8</v>
      </c>
      <c r="E316" s="10">
        <f t="shared" si="36"/>
        <v>8</v>
      </c>
      <c r="F316" s="8">
        <v>4</v>
      </c>
      <c r="G316" s="10">
        <f t="shared" si="37"/>
        <v>4</v>
      </c>
      <c r="H316" s="8">
        <v>10</v>
      </c>
      <c r="I316" s="10">
        <f t="shared" si="38"/>
        <v>10</v>
      </c>
    </row>
    <row r="317" spans="2:9" x14ac:dyDescent="0.25">
      <c r="B317" s="79" t="s">
        <v>7</v>
      </c>
      <c r="C317" s="8">
        <v>0</v>
      </c>
      <c r="D317" s="9">
        <v>8</v>
      </c>
      <c r="E317" s="10">
        <f t="shared" si="36"/>
        <v>8</v>
      </c>
      <c r="F317" s="8">
        <v>21</v>
      </c>
      <c r="G317" s="10">
        <f t="shared" si="37"/>
        <v>21</v>
      </c>
      <c r="H317" s="8">
        <v>9</v>
      </c>
      <c r="I317" s="10">
        <f t="shared" si="38"/>
        <v>9</v>
      </c>
    </row>
    <row r="318" spans="2:9" x14ac:dyDescent="0.25">
      <c r="B318" s="79" t="s">
        <v>8</v>
      </c>
      <c r="C318" s="8">
        <v>0</v>
      </c>
      <c r="D318" s="9">
        <v>9</v>
      </c>
      <c r="E318" s="10">
        <f t="shared" si="36"/>
        <v>9</v>
      </c>
      <c r="F318" s="8">
        <v>10</v>
      </c>
      <c r="G318" s="10">
        <f t="shared" si="37"/>
        <v>10</v>
      </c>
      <c r="H318" s="8">
        <v>7</v>
      </c>
      <c r="I318" s="10">
        <f t="shared" si="38"/>
        <v>7</v>
      </c>
    </row>
    <row r="319" spans="2:9" x14ac:dyDescent="0.25">
      <c r="B319" s="79" t="s">
        <v>10</v>
      </c>
      <c r="C319" s="8">
        <v>0</v>
      </c>
      <c r="D319" s="9">
        <v>25</v>
      </c>
      <c r="E319" s="10">
        <f t="shared" si="36"/>
        <v>25</v>
      </c>
      <c r="F319" s="8">
        <v>7</v>
      </c>
      <c r="G319" s="10">
        <f t="shared" si="37"/>
        <v>7</v>
      </c>
      <c r="H319" s="8">
        <v>6</v>
      </c>
      <c r="I319" s="10">
        <f t="shared" si="38"/>
        <v>6</v>
      </c>
    </row>
    <row r="320" spans="2:9" x14ac:dyDescent="0.25">
      <c r="B320" s="79" t="s">
        <v>22</v>
      </c>
      <c r="C320" s="8">
        <v>0</v>
      </c>
      <c r="D320" s="9">
        <v>4</v>
      </c>
      <c r="E320" s="10">
        <f t="shared" si="36"/>
        <v>4</v>
      </c>
      <c r="F320" s="8">
        <v>6</v>
      </c>
      <c r="G320" s="10">
        <f t="shared" si="37"/>
        <v>6</v>
      </c>
      <c r="H320" s="8">
        <v>6</v>
      </c>
      <c r="I320" s="10">
        <f t="shared" si="38"/>
        <v>6</v>
      </c>
    </row>
    <row r="321" spans="2:9" x14ac:dyDescent="0.25">
      <c r="B321" s="79" t="s">
        <v>6</v>
      </c>
      <c r="C321" s="8">
        <v>0</v>
      </c>
      <c r="D321" s="9">
        <v>62</v>
      </c>
      <c r="E321" s="10">
        <f t="shared" si="36"/>
        <v>62</v>
      </c>
      <c r="F321" s="8">
        <v>4</v>
      </c>
      <c r="G321" s="10">
        <f t="shared" si="37"/>
        <v>4</v>
      </c>
      <c r="H321" s="8">
        <v>5</v>
      </c>
      <c r="I321" s="10">
        <f t="shared" si="38"/>
        <v>5</v>
      </c>
    </row>
    <row r="322" spans="2:9" x14ac:dyDescent="0.25">
      <c r="B322" s="79" t="s">
        <v>17</v>
      </c>
      <c r="C322" s="8">
        <v>0</v>
      </c>
      <c r="D322" s="9">
        <v>10</v>
      </c>
      <c r="E322" s="10">
        <f t="shared" si="36"/>
        <v>10</v>
      </c>
      <c r="F322" s="8">
        <v>3</v>
      </c>
      <c r="G322" s="10">
        <f t="shared" si="37"/>
        <v>3</v>
      </c>
      <c r="H322" s="8">
        <v>3</v>
      </c>
      <c r="I322" s="10">
        <f t="shared" si="38"/>
        <v>3</v>
      </c>
    </row>
    <row r="323" spans="2:9" x14ac:dyDescent="0.25">
      <c r="B323" s="79" t="s">
        <v>20</v>
      </c>
      <c r="C323" s="8">
        <v>0</v>
      </c>
      <c r="D323" s="9">
        <v>5</v>
      </c>
      <c r="E323" s="10">
        <f t="shared" si="36"/>
        <v>5</v>
      </c>
      <c r="F323" s="8">
        <v>2</v>
      </c>
      <c r="G323" s="10">
        <f t="shared" si="37"/>
        <v>2</v>
      </c>
      <c r="H323" s="8">
        <v>2</v>
      </c>
      <c r="I323" s="10">
        <f t="shared" si="38"/>
        <v>2</v>
      </c>
    </row>
    <row r="324" spans="2:9" x14ac:dyDescent="0.25">
      <c r="B324" s="79" t="s">
        <v>21</v>
      </c>
      <c r="C324" s="8">
        <v>0</v>
      </c>
      <c r="D324" s="9">
        <v>5</v>
      </c>
      <c r="E324" s="10">
        <f t="shared" si="36"/>
        <v>5</v>
      </c>
      <c r="F324" s="8">
        <v>1</v>
      </c>
      <c r="G324" s="10">
        <f t="shared" si="37"/>
        <v>1</v>
      </c>
      <c r="H324" s="8">
        <v>1</v>
      </c>
      <c r="I324" s="10">
        <f t="shared" si="38"/>
        <v>1</v>
      </c>
    </row>
    <row r="325" spans="2:9" x14ac:dyDescent="0.25">
      <c r="B325" s="79" t="s">
        <v>23</v>
      </c>
      <c r="C325" s="8">
        <v>0</v>
      </c>
      <c r="D325" s="9">
        <v>0</v>
      </c>
      <c r="E325" s="10">
        <f t="shared" si="36"/>
        <v>0</v>
      </c>
      <c r="F325" s="8">
        <v>1</v>
      </c>
      <c r="G325" s="10">
        <f t="shared" si="37"/>
        <v>1</v>
      </c>
      <c r="H325" s="8">
        <v>0</v>
      </c>
      <c r="I325" s="10">
        <f t="shared" si="38"/>
        <v>0</v>
      </c>
    </row>
    <row r="326" spans="2:9" x14ac:dyDescent="0.25">
      <c r="B326" s="79" t="s">
        <v>13</v>
      </c>
      <c r="C326" s="8">
        <v>0</v>
      </c>
      <c r="D326" s="9">
        <v>24</v>
      </c>
      <c r="E326" s="10">
        <f t="shared" si="36"/>
        <v>24</v>
      </c>
      <c r="F326" s="8">
        <v>0</v>
      </c>
      <c r="G326" s="10">
        <f t="shared" si="37"/>
        <v>0</v>
      </c>
      <c r="H326" s="8">
        <v>0</v>
      </c>
      <c r="I326" s="10">
        <f t="shared" si="38"/>
        <v>0</v>
      </c>
    </row>
    <row r="327" spans="2:9" ht="15.75" thickBot="1" x14ac:dyDescent="0.3">
      <c r="B327" s="80" t="s">
        <v>18</v>
      </c>
      <c r="C327" s="14">
        <v>0</v>
      </c>
      <c r="D327" s="40">
        <v>1</v>
      </c>
      <c r="E327" s="15">
        <f t="shared" si="36"/>
        <v>1</v>
      </c>
      <c r="F327" s="14">
        <v>0</v>
      </c>
      <c r="G327" s="15">
        <f t="shared" si="37"/>
        <v>0</v>
      </c>
      <c r="H327" s="14">
        <v>0</v>
      </c>
      <c r="I327" s="15">
        <f t="shared" si="38"/>
        <v>0</v>
      </c>
    </row>
    <row r="328" spans="2:9" ht="15.75" thickBot="1" x14ac:dyDescent="0.3">
      <c r="B328" s="81" t="s">
        <v>3</v>
      </c>
      <c r="C328" s="74">
        <v>0</v>
      </c>
      <c r="D328" s="75">
        <f t="shared" ref="D328:I328" si="39">SUM(D308:D327)</f>
        <v>322</v>
      </c>
      <c r="E328" s="76">
        <f t="shared" si="39"/>
        <v>322</v>
      </c>
      <c r="F328" s="82">
        <f t="shared" si="39"/>
        <v>954</v>
      </c>
      <c r="G328" s="58">
        <f t="shared" si="39"/>
        <v>954</v>
      </c>
      <c r="H328" s="16">
        <f t="shared" si="39"/>
        <v>763</v>
      </c>
      <c r="I328" s="16">
        <f t="shared" si="39"/>
        <v>763</v>
      </c>
    </row>
    <row r="329" spans="2:9" ht="15.75" thickTop="1" x14ac:dyDescent="0.25"/>
    <row r="331" spans="2:9" ht="15.75" thickBot="1" x14ac:dyDescent="0.3"/>
    <row r="332" spans="2:9" ht="16.5" thickTop="1" thickBot="1" x14ac:dyDescent="0.3">
      <c r="B332" s="198" t="s">
        <v>0</v>
      </c>
      <c r="C332" s="73" t="s">
        <v>71</v>
      </c>
      <c r="D332" s="73"/>
      <c r="E332" s="73"/>
      <c r="F332" s="194" t="s">
        <v>78</v>
      </c>
      <c r="G332" s="195"/>
      <c r="H332" s="196" t="s">
        <v>79</v>
      </c>
      <c r="I332" s="197"/>
    </row>
    <row r="333" spans="2:9" ht="15.75" thickBot="1" x14ac:dyDescent="0.3">
      <c r="B333" s="199"/>
      <c r="C333" s="74">
        <v>2021</v>
      </c>
      <c r="D333" s="75">
        <v>2022</v>
      </c>
      <c r="E333" s="76" t="s">
        <v>3</v>
      </c>
      <c r="F333" s="58" t="s">
        <v>67</v>
      </c>
      <c r="G333" s="59" t="s">
        <v>3</v>
      </c>
      <c r="H333" s="1" t="s">
        <v>67</v>
      </c>
      <c r="I333" s="2" t="s">
        <v>3</v>
      </c>
    </row>
    <row r="334" spans="2:9" x14ac:dyDescent="0.25">
      <c r="B334" s="77" t="s">
        <v>15</v>
      </c>
      <c r="C334" s="3">
        <v>0</v>
      </c>
      <c r="D334" s="4">
        <v>4</v>
      </c>
      <c r="E334" s="5">
        <f t="shared" ref="E334:E353" si="40">+D334</f>
        <v>4</v>
      </c>
      <c r="F334" s="6">
        <v>555</v>
      </c>
      <c r="G334" s="7">
        <f t="shared" ref="G334:G353" si="41">+F334</f>
        <v>555</v>
      </c>
      <c r="H334" s="6">
        <v>413</v>
      </c>
      <c r="I334" s="7">
        <f t="shared" ref="I334:I353" si="42">+H334</f>
        <v>413</v>
      </c>
    </row>
    <row r="335" spans="2:9" x14ac:dyDescent="0.25">
      <c r="B335" s="78" t="s">
        <v>4</v>
      </c>
      <c r="C335" s="8">
        <v>0</v>
      </c>
      <c r="D335" s="9">
        <v>50</v>
      </c>
      <c r="E335" s="10">
        <f t="shared" si="40"/>
        <v>50</v>
      </c>
      <c r="F335" s="8">
        <v>40</v>
      </c>
      <c r="G335" s="10">
        <f t="shared" si="41"/>
        <v>40</v>
      </c>
      <c r="H335" s="8">
        <v>40</v>
      </c>
      <c r="I335" s="10">
        <f t="shared" si="42"/>
        <v>40</v>
      </c>
    </row>
    <row r="336" spans="2:9" x14ac:dyDescent="0.25">
      <c r="B336" s="79" t="s">
        <v>5</v>
      </c>
      <c r="C336" s="8">
        <v>0</v>
      </c>
      <c r="D336" s="9">
        <v>46</v>
      </c>
      <c r="E336" s="10">
        <f t="shared" si="40"/>
        <v>46</v>
      </c>
      <c r="F336" s="8">
        <v>50</v>
      </c>
      <c r="G336" s="10">
        <f t="shared" si="41"/>
        <v>50</v>
      </c>
      <c r="H336" s="8">
        <v>26</v>
      </c>
      <c r="I336" s="10">
        <f t="shared" si="42"/>
        <v>26</v>
      </c>
    </row>
    <row r="337" spans="2:9" x14ac:dyDescent="0.25">
      <c r="B337" s="78" t="s">
        <v>11</v>
      </c>
      <c r="C337" s="8">
        <v>0</v>
      </c>
      <c r="D337" s="9">
        <v>5</v>
      </c>
      <c r="E337" s="10">
        <f t="shared" si="40"/>
        <v>5</v>
      </c>
      <c r="F337" s="8">
        <v>22</v>
      </c>
      <c r="G337" s="10">
        <f t="shared" si="41"/>
        <v>22</v>
      </c>
      <c r="H337" s="8">
        <v>23</v>
      </c>
      <c r="I337" s="10">
        <f t="shared" si="42"/>
        <v>23</v>
      </c>
    </row>
    <row r="338" spans="2:9" x14ac:dyDescent="0.25">
      <c r="B338" s="79" t="s">
        <v>19</v>
      </c>
      <c r="C338" s="8">
        <v>0</v>
      </c>
      <c r="D338" s="9">
        <v>24</v>
      </c>
      <c r="E338" s="10">
        <f t="shared" si="40"/>
        <v>24</v>
      </c>
      <c r="F338" s="8">
        <v>14</v>
      </c>
      <c r="G338" s="10">
        <f t="shared" si="41"/>
        <v>14</v>
      </c>
      <c r="H338" s="8">
        <v>13</v>
      </c>
      <c r="I338" s="10">
        <f t="shared" si="42"/>
        <v>13</v>
      </c>
    </row>
    <row r="339" spans="2:9" x14ac:dyDescent="0.25">
      <c r="B339" s="79" t="s">
        <v>12</v>
      </c>
      <c r="C339" s="8">
        <v>0</v>
      </c>
      <c r="D339" s="9">
        <v>10</v>
      </c>
      <c r="E339" s="10">
        <f t="shared" si="40"/>
        <v>10</v>
      </c>
      <c r="F339" s="8">
        <v>11</v>
      </c>
      <c r="G339" s="10">
        <f t="shared" si="41"/>
        <v>11</v>
      </c>
      <c r="H339" s="8">
        <v>11</v>
      </c>
      <c r="I339" s="10">
        <f t="shared" si="42"/>
        <v>11</v>
      </c>
    </row>
    <row r="340" spans="2:9" x14ac:dyDescent="0.25">
      <c r="B340" s="79" t="s">
        <v>16</v>
      </c>
      <c r="C340" s="8">
        <v>0</v>
      </c>
      <c r="D340" s="9">
        <v>14</v>
      </c>
      <c r="E340" s="10">
        <f t="shared" si="40"/>
        <v>14</v>
      </c>
      <c r="F340" s="8">
        <v>12</v>
      </c>
      <c r="G340" s="10">
        <f t="shared" si="41"/>
        <v>12</v>
      </c>
      <c r="H340" s="8">
        <v>8</v>
      </c>
      <c r="I340" s="10">
        <f t="shared" si="42"/>
        <v>8</v>
      </c>
    </row>
    <row r="341" spans="2:9" x14ac:dyDescent="0.25">
      <c r="B341" s="79" t="s">
        <v>7</v>
      </c>
      <c r="C341" s="8">
        <v>0</v>
      </c>
      <c r="D341" s="9">
        <v>8</v>
      </c>
      <c r="E341" s="10">
        <f t="shared" si="40"/>
        <v>8</v>
      </c>
      <c r="F341" s="8">
        <v>9</v>
      </c>
      <c r="G341" s="10">
        <f t="shared" si="41"/>
        <v>9</v>
      </c>
      <c r="H341" s="8">
        <v>8</v>
      </c>
      <c r="I341" s="10">
        <f t="shared" si="42"/>
        <v>8</v>
      </c>
    </row>
    <row r="342" spans="2:9" x14ac:dyDescent="0.25">
      <c r="B342" s="79" t="s">
        <v>14</v>
      </c>
      <c r="C342" s="8">
        <v>0</v>
      </c>
      <c r="D342" s="9">
        <v>8</v>
      </c>
      <c r="E342" s="10">
        <f t="shared" si="40"/>
        <v>8</v>
      </c>
      <c r="F342" s="8">
        <v>10</v>
      </c>
      <c r="G342" s="10">
        <f t="shared" si="41"/>
        <v>10</v>
      </c>
      <c r="H342" s="8">
        <v>7</v>
      </c>
      <c r="I342" s="10">
        <f t="shared" si="42"/>
        <v>7</v>
      </c>
    </row>
    <row r="343" spans="2:9" x14ac:dyDescent="0.25">
      <c r="B343" s="79" t="s">
        <v>6</v>
      </c>
      <c r="C343" s="8">
        <v>0</v>
      </c>
      <c r="D343" s="9">
        <v>62</v>
      </c>
      <c r="E343" s="10">
        <f t="shared" si="40"/>
        <v>62</v>
      </c>
      <c r="F343" s="8">
        <v>5</v>
      </c>
      <c r="G343" s="10">
        <f t="shared" si="41"/>
        <v>5</v>
      </c>
      <c r="H343" s="8">
        <v>7</v>
      </c>
      <c r="I343" s="10">
        <f t="shared" si="42"/>
        <v>7</v>
      </c>
    </row>
    <row r="344" spans="2:9" x14ac:dyDescent="0.25">
      <c r="B344" s="79" t="s">
        <v>8</v>
      </c>
      <c r="C344" s="8">
        <v>0</v>
      </c>
      <c r="D344" s="9">
        <v>9</v>
      </c>
      <c r="E344" s="10">
        <f t="shared" si="40"/>
        <v>9</v>
      </c>
      <c r="F344" s="8">
        <v>7</v>
      </c>
      <c r="G344" s="10">
        <f t="shared" si="41"/>
        <v>7</v>
      </c>
      <c r="H344" s="8">
        <v>6</v>
      </c>
      <c r="I344" s="10">
        <f t="shared" si="42"/>
        <v>6</v>
      </c>
    </row>
    <row r="345" spans="2:9" x14ac:dyDescent="0.25">
      <c r="B345" s="79" t="s">
        <v>22</v>
      </c>
      <c r="C345" s="8">
        <v>0</v>
      </c>
      <c r="D345" s="9">
        <v>4</v>
      </c>
      <c r="E345" s="10">
        <f t="shared" si="40"/>
        <v>4</v>
      </c>
      <c r="F345" s="8">
        <v>6</v>
      </c>
      <c r="G345" s="10">
        <f t="shared" si="41"/>
        <v>6</v>
      </c>
      <c r="H345" s="8">
        <v>6</v>
      </c>
      <c r="I345" s="10">
        <f t="shared" si="42"/>
        <v>6</v>
      </c>
    </row>
    <row r="346" spans="2:9" x14ac:dyDescent="0.25">
      <c r="B346" s="79" t="s">
        <v>10</v>
      </c>
      <c r="C346" s="8">
        <v>0</v>
      </c>
      <c r="D346" s="9">
        <v>25</v>
      </c>
      <c r="E346" s="10">
        <f t="shared" si="40"/>
        <v>25</v>
      </c>
      <c r="F346" s="8">
        <v>6</v>
      </c>
      <c r="G346" s="10">
        <f t="shared" si="41"/>
        <v>6</v>
      </c>
      <c r="H346" s="8">
        <v>5</v>
      </c>
      <c r="I346" s="10">
        <f t="shared" si="42"/>
        <v>5</v>
      </c>
    </row>
    <row r="347" spans="2:9" x14ac:dyDescent="0.25">
      <c r="B347" s="79" t="s">
        <v>9</v>
      </c>
      <c r="C347" s="8">
        <v>0</v>
      </c>
      <c r="D347" s="9">
        <v>8</v>
      </c>
      <c r="E347" s="10">
        <f t="shared" si="40"/>
        <v>8</v>
      </c>
      <c r="F347" s="8">
        <v>10</v>
      </c>
      <c r="G347" s="10">
        <f t="shared" si="41"/>
        <v>10</v>
      </c>
      <c r="H347" s="8">
        <v>4</v>
      </c>
      <c r="I347" s="10">
        <f t="shared" si="42"/>
        <v>4</v>
      </c>
    </row>
    <row r="348" spans="2:9" x14ac:dyDescent="0.25">
      <c r="B348" s="79" t="s">
        <v>21</v>
      </c>
      <c r="C348" s="8">
        <v>0</v>
      </c>
      <c r="D348" s="9">
        <v>5</v>
      </c>
      <c r="E348" s="10">
        <f t="shared" si="40"/>
        <v>5</v>
      </c>
      <c r="F348" s="8">
        <v>1</v>
      </c>
      <c r="G348" s="10">
        <f t="shared" si="41"/>
        <v>1</v>
      </c>
      <c r="H348" s="8">
        <v>2</v>
      </c>
      <c r="I348" s="10">
        <f t="shared" si="42"/>
        <v>2</v>
      </c>
    </row>
    <row r="349" spans="2:9" x14ac:dyDescent="0.25">
      <c r="B349" s="79" t="s">
        <v>17</v>
      </c>
      <c r="C349" s="8">
        <v>0</v>
      </c>
      <c r="D349" s="9">
        <v>10</v>
      </c>
      <c r="E349" s="10">
        <f t="shared" si="40"/>
        <v>10</v>
      </c>
      <c r="F349" s="8">
        <v>3</v>
      </c>
      <c r="G349" s="10">
        <f t="shared" si="41"/>
        <v>3</v>
      </c>
      <c r="H349" s="8">
        <v>1</v>
      </c>
      <c r="I349" s="10">
        <f t="shared" si="42"/>
        <v>1</v>
      </c>
    </row>
    <row r="350" spans="2:9" x14ac:dyDescent="0.25">
      <c r="B350" s="79" t="s">
        <v>13</v>
      </c>
      <c r="C350" s="8">
        <v>0</v>
      </c>
      <c r="D350" s="9">
        <v>24</v>
      </c>
      <c r="E350" s="10">
        <f t="shared" si="40"/>
        <v>24</v>
      </c>
      <c r="F350" s="8">
        <v>0</v>
      </c>
      <c r="G350" s="10">
        <f t="shared" si="41"/>
        <v>0</v>
      </c>
      <c r="H350" s="8">
        <v>1</v>
      </c>
      <c r="I350" s="10">
        <f t="shared" si="42"/>
        <v>1</v>
      </c>
    </row>
    <row r="351" spans="2:9" x14ac:dyDescent="0.25">
      <c r="B351" s="79" t="s">
        <v>20</v>
      </c>
      <c r="C351" s="8">
        <v>0</v>
      </c>
      <c r="D351" s="9">
        <v>5</v>
      </c>
      <c r="E351" s="10">
        <f t="shared" si="40"/>
        <v>5</v>
      </c>
      <c r="F351" s="8">
        <v>2</v>
      </c>
      <c r="G351" s="10">
        <f t="shared" si="41"/>
        <v>2</v>
      </c>
      <c r="H351" s="8">
        <v>0</v>
      </c>
      <c r="I351" s="10">
        <f t="shared" si="42"/>
        <v>0</v>
      </c>
    </row>
    <row r="352" spans="2:9" x14ac:dyDescent="0.25">
      <c r="B352" s="79" t="s">
        <v>23</v>
      </c>
      <c r="C352" s="8">
        <v>0</v>
      </c>
      <c r="D352" s="9">
        <v>0</v>
      </c>
      <c r="E352" s="10">
        <f t="shared" si="40"/>
        <v>0</v>
      </c>
      <c r="F352" s="8">
        <v>0</v>
      </c>
      <c r="G352" s="10">
        <f t="shared" si="41"/>
        <v>0</v>
      </c>
      <c r="H352" s="8">
        <v>0</v>
      </c>
      <c r="I352" s="10">
        <f t="shared" si="42"/>
        <v>0</v>
      </c>
    </row>
    <row r="353" spans="2:9" ht="15.75" thickBot="1" x14ac:dyDescent="0.3">
      <c r="B353" s="80" t="s">
        <v>18</v>
      </c>
      <c r="C353" s="14">
        <v>0</v>
      </c>
      <c r="D353" s="40">
        <v>1</v>
      </c>
      <c r="E353" s="15">
        <f t="shared" si="40"/>
        <v>1</v>
      </c>
      <c r="F353" s="14">
        <v>0</v>
      </c>
      <c r="G353" s="15">
        <f t="shared" si="41"/>
        <v>0</v>
      </c>
      <c r="H353" s="14">
        <v>0</v>
      </c>
      <c r="I353" s="15">
        <f t="shared" si="42"/>
        <v>0</v>
      </c>
    </row>
    <row r="354" spans="2:9" ht="15.75" thickBot="1" x14ac:dyDescent="0.3">
      <c r="B354" s="81" t="s">
        <v>3</v>
      </c>
      <c r="C354" s="74">
        <v>0</v>
      </c>
      <c r="D354" s="75">
        <f t="shared" ref="D354:I354" si="43">SUM(D334:D353)</f>
        <v>322</v>
      </c>
      <c r="E354" s="76">
        <f t="shared" si="43"/>
        <v>322</v>
      </c>
      <c r="F354" s="82">
        <f t="shared" si="43"/>
        <v>763</v>
      </c>
      <c r="G354" s="58">
        <f t="shared" si="43"/>
        <v>763</v>
      </c>
      <c r="H354" s="16">
        <f t="shared" si="43"/>
        <v>581</v>
      </c>
      <c r="I354" s="16">
        <f t="shared" si="43"/>
        <v>581</v>
      </c>
    </row>
    <row r="355" spans="2:9" ht="15.75" thickTop="1" x14ac:dyDescent="0.25"/>
    <row r="357" spans="2:9" ht="15.75" thickBot="1" x14ac:dyDescent="0.3"/>
    <row r="358" spans="2:9" ht="16.5" thickTop="1" thickBot="1" x14ac:dyDescent="0.3">
      <c r="B358" s="198" t="s">
        <v>0</v>
      </c>
      <c r="C358" s="73" t="s">
        <v>71</v>
      </c>
      <c r="D358" s="73"/>
      <c r="E358" s="73"/>
      <c r="F358" s="194" t="s">
        <v>79</v>
      </c>
      <c r="G358" s="195"/>
      <c r="H358" s="196" t="s">
        <v>80</v>
      </c>
      <c r="I358" s="197"/>
    </row>
    <row r="359" spans="2:9" ht="15.75" thickBot="1" x14ac:dyDescent="0.3">
      <c r="B359" s="199"/>
      <c r="C359" s="74">
        <v>2021</v>
      </c>
      <c r="D359" s="75">
        <v>2022</v>
      </c>
      <c r="E359" s="76" t="s">
        <v>3</v>
      </c>
      <c r="F359" s="58" t="s">
        <v>67</v>
      </c>
      <c r="G359" s="59" t="s">
        <v>3</v>
      </c>
      <c r="H359" s="1" t="s">
        <v>67</v>
      </c>
      <c r="I359" s="2" t="s">
        <v>3</v>
      </c>
    </row>
    <row r="360" spans="2:9" x14ac:dyDescent="0.25">
      <c r="B360" s="77" t="s">
        <v>15</v>
      </c>
      <c r="C360" s="3">
        <v>0</v>
      </c>
      <c r="D360" s="4">
        <v>4</v>
      </c>
      <c r="E360" s="5">
        <f t="shared" ref="E360:E379" si="44">+D360</f>
        <v>4</v>
      </c>
      <c r="F360" s="6">
        <v>413</v>
      </c>
      <c r="G360" s="7">
        <f t="shared" ref="G360:G379" si="45">+F360</f>
        <v>413</v>
      </c>
      <c r="H360" s="6">
        <v>249</v>
      </c>
      <c r="I360" s="7">
        <f t="shared" ref="I360:I379" si="46">+H360</f>
        <v>249</v>
      </c>
    </row>
    <row r="361" spans="2:9" x14ac:dyDescent="0.25">
      <c r="B361" s="78" t="s">
        <v>11</v>
      </c>
      <c r="C361" s="8">
        <v>0</v>
      </c>
      <c r="D361" s="9">
        <v>5</v>
      </c>
      <c r="E361" s="10">
        <f t="shared" si="44"/>
        <v>5</v>
      </c>
      <c r="F361" s="8">
        <v>23</v>
      </c>
      <c r="G361" s="10">
        <f t="shared" si="45"/>
        <v>23</v>
      </c>
      <c r="H361" s="8">
        <v>37</v>
      </c>
      <c r="I361" s="10">
        <f t="shared" si="46"/>
        <v>37</v>
      </c>
    </row>
    <row r="362" spans="2:9" x14ac:dyDescent="0.25">
      <c r="B362" s="79" t="s">
        <v>5</v>
      </c>
      <c r="C362" s="8">
        <v>0</v>
      </c>
      <c r="D362" s="9">
        <v>46</v>
      </c>
      <c r="E362" s="10">
        <f t="shared" si="44"/>
        <v>46</v>
      </c>
      <c r="F362" s="8">
        <v>26</v>
      </c>
      <c r="G362" s="10">
        <f t="shared" si="45"/>
        <v>26</v>
      </c>
      <c r="H362" s="8">
        <v>35</v>
      </c>
      <c r="I362" s="10">
        <f t="shared" si="46"/>
        <v>35</v>
      </c>
    </row>
    <row r="363" spans="2:9" x14ac:dyDescent="0.25">
      <c r="B363" s="78" t="s">
        <v>4</v>
      </c>
      <c r="C363" s="8">
        <v>0</v>
      </c>
      <c r="D363" s="9">
        <v>50</v>
      </c>
      <c r="E363" s="10">
        <f t="shared" si="44"/>
        <v>50</v>
      </c>
      <c r="F363" s="8">
        <v>40</v>
      </c>
      <c r="G363" s="10">
        <f t="shared" si="45"/>
        <v>40</v>
      </c>
      <c r="H363" s="8">
        <v>25</v>
      </c>
      <c r="I363" s="10">
        <f t="shared" si="46"/>
        <v>25</v>
      </c>
    </row>
    <row r="364" spans="2:9" x14ac:dyDescent="0.25">
      <c r="B364" s="79" t="s">
        <v>19</v>
      </c>
      <c r="C364" s="8">
        <v>0</v>
      </c>
      <c r="D364" s="9">
        <v>24</v>
      </c>
      <c r="E364" s="10">
        <f t="shared" si="44"/>
        <v>24</v>
      </c>
      <c r="F364" s="8">
        <v>13</v>
      </c>
      <c r="G364" s="10">
        <f t="shared" si="45"/>
        <v>13</v>
      </c>
      <c r="H364" s="8">
        <v>19</v>
      </c>
      <c r="I364" s="10">
        <f t="shared" si="46"/>
        <v>19</v>
      </c>
    </row>
    <row r="365" spans="2:9" x14ac:dyDescent="0.25">
      <c r="B365" s="79" t="s">
        <v>12</v>
      </c>
      <c r="C365" s="8">
        <v>0</v>
      </c>
      <c r="D365" s="9">
        <v>10</v>
      </c>
      <c r="E365" s="10">
        <f t="shared" si="44"/>
        <v>10</v>
      </c>
      <c r="F365" s="8">
        <v>11</v>
      </c>
      <c r="G365" s="10">
        <f t="shared" si="45"/>
        <v>11</v>
      </c>
      <c r="H365" s="8">
        <v>14</v>
      </c>
      <c r="I365" s="10">
        <f t="shared" si="46"/>
        <v>14</v>
      </c>
    </row>
    <row r="366" spans="2:9" x14ac:dyDescent="0.25">
      <c r="B366" s="79" t="s">
        <v>7</v>
      </c>
      <c r="C366" s="8">
        <v>0</v>
      </c>
      <c r="D366" s="9">
        <v>8</v>
      </c>
      <c r="E366" s="10">
        <f t="shared" si="44"/>
        <v>8</v>
      </c>
      <c r="F366" s="8">
        <v>8</v>
      </c>
      <c r="G366" s="10">
        <f t="shared" si="45"/>
        <v>8</v>
      </c>
      <c r="H366" s="8">
        <v>12</v>
      </c>
      <c r="I366" s="10">
        <f t="shared" si="46"/>
        <v>12</v>
      </c>
    </row>
    <row r="367" spans="2:9" x14ac:dyDescent="0.25">
      <c r="B367" s="79" t="s">
        <v>8</v>
      </c>
      <c r="C367" s="8">
        <v>0</v>
      </c>
      <c r="D367" s="9">
        <v>9</v>
      </c>
      <c r="E367" s="10">
        <f t="shared" si="44"/>
        <v>9</v>
      </c>
      <c r="F367" s="8">
        <v>6</v>
      </c>
      <c r="G367" s="10">
        <f t="shared" si="45"/>
        <v>6</v>
      </c>
      <c r="H367" s="8">
        <v>12</v>
      </c>
      <c r="I367" s="10">
        <f t="shared" si="46"/>
        <v>12</v>
      </c>
    </row>
    <row r="368" spans="2:9" x14ac:dyDescent="0.25">
      <c r="B368" s="79" t="s">
        <v>16</v>
      </c>
      <c r="C368" s="8">
        <v>0</v>
      </c>
      <c r="D368" s="9">
        <v>14</v>
      </c>
      <c r="E368" s="10">
        <f t="shared" si="44"/>
        <v>14</v>
      </c>
      <c r="F368" s="8">
        <v>8</v>
      </c>
      <c r="G368" s="10">
        <f t="shared" si="45"/>
        <v>8</v>
      </c>
      <c r="H368" s="8">
        <v>10</v>
      </c>
      <c r="I368" s="10">
        <f t="shared" si="46"/>
        <v>10</v>
      </c>
    </row>
    <row r="369" spans="2:9" x14ac:dyDescent="0.25">
      <c r="B369" s="79" t="s">
        <v>6</v>
      </c>
      <c r="C369" s="8">
        <v>0</v>
      </c>
      <c r="D369" s="9">
        <v>62</v>
      </c>
      <c r="E369" s="10">
        <f t="shared" si="44"/>
        <v>62</v>
      </c>
      <c r="F369" s="8">
        <v>7</v>
      </c>
      <c r="G369" s="10">
        <f t="shared" si="45"/>
        <v>7</v>
      </c>
      <c r="H369" s="8">
        <v>9</v>
      </c>
      <c r="I369" s="10">
        <f t="shared" si="46"/>
        <v>9</v>
      </c>
    </row>
    <row r="370" spans="2:9" x14ac:dyDescent="0.25">
      <c r="B370" s="79" t="s">
        <v>14</v>
      </c>
      <c r="C370" s="8">
        <v>0</v>
      </c>
      <c r="D370" s="9">
        <v>8</v>
      </c>
      <c r="E370" s="10">
        <f t="shared" si="44"/>
        <v>8</v>
      </c>
      <c r="F370" s="8">
        <v>7</v>
      </c>
      <c r="G370" s="10">
        <f t="shared" si="45"/>
        <v>7</v>
      </c>
      <c r="H370" s="8">
        <v>7</v>
      </c>
      <c r="I370" s="10">
        <f t="shared" si="46"/>
        <v>7</v>
      </c>
    </row>
    <row r="371" spans="2:9" x14ac:dyDescent="0.25">
      <c r="B371" s="79" t="s">
        <v>22</v>
      </c>
      <c r="C371" s="8">
        <v>0</v>
      </c>
      <c r="D371" s="9">
        <v>4</v>
      </c>
      <c r="E371" s="10">
        <f t="shared" si="44"/>
        <v>4</v>
      </c>
      <c r="F371" s="8">
        <v>6</v>
      </c>
      <c r="G371" s="10">
        <f t="shared" si="45"/>
        <v>6</v>
      </c>
      <c r="H371" s="8">
        <v>7</v>
      </c>
      <c r="I371" s="10">
        <f t="shared" si="46"/>
        <v>7</v>
      </c>
    </row>
    <row r="372" spans="2:9" x14ac:dyDescent="0.25">
      <c r="B372" s="79" t="s">
        <v>10</v>
      </c>
      <c r="C372" s="8">
        <v>0</v>
      </c>
      <c r="D372" s="9">
        <v>25</v>
      </c>
      <c r="E372" s="10">
        <f t="shared" si="44"/>
        <v>25</v>
      </c>
      <c r="F372" s="8">
        <v>5</v>
      </c>
      <c r="G372" s="10">
        <f t="shared" si="45"/>
        <v>5</v>
      </c>
      <c r="H372" s="8">
        <v>5</v>
      </c>
      <c r="I372" s="10">
        <f t="shared" si="46"/>
        <v>5</v>
      </c>
    </row>
    <row r="373" spans="2:9" x14ac:dyDescent="0.25">
      <c r="B373" s="79" t="s">
        <v>21</v>
      </c>
      <c r="C373" s="8">
        <v>0</v>
      </c>
      <c r="D373" s="9">
        <v>5</v>
      </c>
      <c r="E373" s="10">
        <f t="shared" si="44"/>
        <v>5</v>
      </c>
      <c r="F373" s="8">
        <v>2</v>
      </c>
      <c r="G373" s="10">
        <f t="shared" si="45"/>
        <v>2</v>
      </c>
      <c r="H373" s="8">
        <v>5</v>
      </c>
      <c r="I373" s="10">
        <f t="shared" si="46"/>
        <v>5</v>
      </c>
    </row>
    <row r="374" spans="2:9" x14ac:dyDescent="0.25">
      <c r="B374" s="79" t="s">
        <v>9</v>
      </c>
      <c r="C374" s="8">
        <v>0</v>
      </c>
      <c r="D374" s="9">
        <v>8</v>
      </c>
      <c r="E374" s="10">
        <f t="shared" si="44"/>
        <v>8</v>
      </c>
      <c r="F374" s="8">
        <v>4</v>
      </c>
      <c r="G374" s="10">
        <f t="shared" si="45"/>
        <v>4</v>
      </c>
      <c r="H374" s="8">
        <v>4</v>
      </c>
      <c r="I374" s="10">
        <f t="shared" si="46"/>
        <v>4</v>
      </c>
    </row>
    <row r="375" spans="2:9" x14ac:dyDescent="0.25">
      <c r="B375" s="79" t="s">
        <v>23</v>
      </c>
      <c r="C375" s="8">
        <v>0</v>
      </c>
      <c r="D375" s="9">
        <v>0</v>
      </c>
      <c r="E375" s="10">
        <f t="shared" si="44"/>
        <v>0</v>
      </c>
      <c r="F375" s="8">
        <v>0</v>
      </c>
      <c r="G375" s="10">
        <f t="shared" si="45"/>
        <v>0</v>
      </c>
      <c r="H375" s="8">
        <v>4</v>
      </c>
      <c r="I375" s="10">
        <f t="shared" si="46"/>
        <v>4</v>
      </c>
    </row>
    <row r="376" spans="2:9" x14ac:dyDescent="0.25">
      <c r="B376" s="79" t="s">
        <v>20</v>
      </c>
      <c r="C376" s="8">
        <v>0</v>
      </c>
      <c r="D376" s="9">
        <v>5</v>
      </c>
      <c r="E376" s="10">
        <f t="shared" si="44"/>
        <v>5</v>
      </c>
      <c r="F376" s="8">
        <v>0</v>
      </c>
      <c r="G376" s="10">
        <f t="shared" si="45"/>
        <v>0</v>
      </c>
      <c r="H376" s="8">
        <v>2</v>
      </c>
      <c r="I376" s="10">
        <f t="shared" si="46"/>
        <v>2</v>
      </c>
    </row>
    <row r="377" spans="2:9" x14ac:dyDescent="0.25">
      <c r="B377" s="79" t="s">
        <v>17</v>
      </c>
      <c r="C377" s="8">
        <v>0</v>
      </c>
      <c r="D377" s="9">
        <v>10</v>
      </c>
      <c r="E377" s="10">
        <f t="shared" si="44"/>
        <v>10</v>
      </c>
      <c r="F377" s="8">
        <v>1</v>
      </c>
      <c r="G377" s="10">
        <f t="shared" si="45"/>
        <v>1</v>
      </c>
      <c r="H377" s="8">
        <v>0</v>
      </c>
      <c r="I377" s="10">
        <f t="shared" si="46"/>
        <v>0</v>
      </c>
    </row>
    <row r="378" spans="2:9" x14ac:dyDescent="0.25">
      <c r="B378" s="79" t="s">
        <v>13</v>
      </c>
      <c r="C378" s="8">
        <v>0</v>
      </c>
      <c r="D378" s="9">
        <v>24</v>
      </c>
      <c r="E378" s="10">
        <f t="shared" si="44"/>
        <v>24</v>
      </c>
      <c r="F378" s="8">
        <v>1</v>
      </c>
      <c r="G378" s="10">
        <f t="shared" si="45"/>
        <v>1</v>
      </c>
      <c r="H378" s="8">
        <v>0</v>
      </c>
      <c r="I378" s="10">
        <f t="shared" si="46"/>
        <v>0</v>
      </c>
    </row>
    <row r="379" spans="2:9" ht="15.75" thickBot="1" x14ac:dyDescent="0.3">
      <c r="B379" s="80" t="s">
        <v>18</v>
      </c>
      <c r="C379" s="14">
        <v>0</v>
      </c>
      <c r="D379" s="40">
        <v>1</v>
      </c>
      <c r="E379" s="15">
        <f t="shared" si="44"/>
        <v>1</v>
      </c>
      <c r="F379" s="14">
        <v>0</v>
      </c>
      <c r="G379" s="15">
        <f t="shared" si="45"/>
        <v>0</v>
      </c>
      <c r="H379" s="14">
        <v>0</v>
      </c>
      <c r="I379" s="15">
        <f t="shared" si="46"/>
        <v>0</v>
      </c>
    </row>
    <row r="380" spans="2:9" ht="15.75" thickBot="1" x14ac:dyDescent="0.3">
      <c r="B380" s="81" t="s">
        <v>3</v>
      </c>
      <c r="C380" s="74">
        <v>0</v>
      </c>
      <c r="D380" s="75">
        <f t="shared" ref="D380:I380" si="47">SUM(D360:D379)</f>
        <v>322</v>
      </c>
      <c r="E380" s="76">
        <f t="shared" si="47"/>
        <v>322</v>
      </c>
      <c r="F380" s="82">
        <f t="shared" si="47"/>
        <v>581</v>
      </c>
      <c r="G380" s="58">
        <f t="shared" si="47"/>
        <v>581</v>
      </c>
      <c r="H380" s="16">
        <f t="shared" si="47"/>
        <v>456</v>
      </c>
      <c r="I380" s="16">
        <f t="shared" si="47"/>
        <v>456</v>
      </c>
    </row>
    <row r="381" spans="2:9" ht="15.75" thickTop="1" x14ac:dyDescent="0.25"/>
    <row r="383" spans="2:9" ht="15.75" thickBot="1" x14ac:dyDescent="0.3"/>
    <row r="384" spans="2:9" ht="16.5" thickTop="1" thickBot="1" x14ac:dyDescent="0.3">
      <c r="B384" s="198" t="s">
        <v>0</v>
      </c>
      <c r="C384" s="73" t="s">
        <v>71</v>
      </c>
      <c r="D384" s="73"/>
      <c r="E384" s="73"/>
      <c r="F384" s="194" t="s">
        <v>80</v>
      </c>
      <c r="G384" s="195"/>
      <c r="H384" s="196" t="s">
        <v>81</v>
      </c>
      <c r="I384" s="197"/>
    </row>
    <row r="385" spans="2:9" ht="15.75" thickBot="1" x14ac:dyDescent="0.3">
      <c r="B385" s="199"/>
      <c r="C385" s="74">
        <v>2021</v>
      </c>
      <c r="D385" s="75">
        <v>2022</v>
      </c>
      <c r="E385" s="76" t="s">
        <v>3</v>
      </c>
      <c r="F385" s="58" t="s">
        <v>67</v>
      </c>
      <c r="G385" s="59" t="s">
        <v>3</v>
      </c>
      <c r="H385" s="1" t="s">
        <v>67</v>
      </c>
      <c r="I385" s="2" t="s">
        <v>3</v>
      </c>
    </row>
    <row r="386" spans="2:9" x14ac:dyDescent="0.25">
      <c r="B386" s="77" t="s">
        <v>15</v>
      </c>
      <c r="C386" s="3">
        <v>0</v>
      </c>
      <c r="D386" s="4">
        <v>4</v>
      </c>
      <c r="E386" s="5">
        <f t="shared" ref="E386:E405" si="48">+D386</f>
        <v>4</v>
      </c>
      <c r="F386" s="6">
        <v>249</v>
      </c>
      <c r="G386" s="7">
        <f t="shared" ref="G386:G405" si="49">+F386</f>
        <v>249</v>
      </c>
      <c r="H386" s="6">
        <v>135</v>
      </c>
      <c r="I386" s="7">
        <f t="shared" ref="I386:I405" si="50">+H386</f>
        <v>135</v>
      </c>
    </row>
    <row r="387" spans="2:9" x14ac:dyDescent="0.25">
      <c r="B387" s="78" t="s">
        <v>11</v>
      </c>
      <c r="C387" s="8">
        <v>0</v>
      </c>
      <c r="D387" s="9">
        <v>5</v>
      </c>
      <c r="E387" s="10">
        <f t="shared" si="48"/>
        <v>5</v>
      </c>
      <c r="F387" s="8">
        <v>37</v>
      </c>
      <c r="G387" s="10">
        <f t="shared" si="49"/>
        <v>37</v>
      </c>
      <c r="H387" s="8">
        <v>37</v>
      </c>
      <c r="I387" s="10">
        <f t="shared" si="50"/>
        <v>37</v>
      </c>
    </row>
    <row r="388" spans="2:9" x14ac:dyDescent="0.25">
      <c r="B388" s="79" t="s">
        <v>5</v>
      </c>
      <c r="C388" s="8">
        <v>0</v>
      </c>
      <c r="D388" s="9">
        <v>46</v>
      </c>
      <c r="E388" s="10">
        <f t="shared" si="48"/>
        <v>46</v>
      </c>
      <c r="F388" s="8">
        <v>35</v>
      </c>
      <c r="G388" s="10">
        <f t="shared" si="49"/>
        <v>35</v>
      </c>
      <c r="H388" s="8">
        <v>27</v>
      </c>
      <c r="I388" s="10">
        <f t="shared" si="50"/>
        <v>27</v>
      </c>
    </row>
    <row r="389" spans="2:9" x14ac:dyDescent="0.25">
      <c r="B389" s="78" t="s">
        <v>19</v>
      </c>
      <c r="C389" s="8">
        <v>0</v>
      </c>
      <c r="D389" s="9">
        <v>24</v>
      </c>
      <c r="E389" s="10">
        <f t="shared" si="48"/>
        <v>24</v>
      </c>
      <c r="F389" s="8">
        <v>19</v>
      </c>
      <c r="G389" s="10">
        <f t="shared" si="49"/>
        <v>19</v>
      </c>
      <c r="H389" s="8">
        <v>23</v>
      </c>
      <c r="I389" s="10">
        <f t="shared" si="50"/>
        <v>23</v>
      </c>
    </row>
    <row r="390" spans="2:9" x14ac:dyDescent="0.25">
      <c r="B390" s="79" t="s">
        <v>12</v>
      </c>
      <c r="C390" s="8">
        <v>0</v>
      </c>
      <c r="D390" s="9">
        <v>10</v>
      </c>
      <c r="E390" s="10">
        <f t="shared" si="48"/>
        <v>10</v>
      </c>
      <c r="F390" s="8">
        <v>14</v>
      </c>
      <c r="G390" s="10">
        <f t="shared" si="49"/>
        <v>14</v>
      </c>
      <c r="H390" s="8">
        <v>18</v>
      </c>
      <c r="I390" s="10">
        <f t="shared" si="50"/>
        <v>18</v>
      </c>
    </row>
    <row r="391" spans="2:9" x14ac:dyDescent="0.25">
      <c r="B391" s="79" t="s">
        <v>4</v>
      </c>
      <c r="C391" s="8">
        <v>0</v>
      </c>
      <c r="D391" s="9">
        <v>50</v>
      </c>
      <c r="E391" s="10">
        <f t="shared" si="48"/>
        <v>50</v>
      </c>
      <c r="F391" s="8">
        <v>25</v>
      </c>
      <c r="G391" s="10">
        <f t="shared" si="49"/>
        <v>25</v>
      </c>
      <c r="H391" s="8">
        <v>16</v>
      </c>
      <c r="I391" s="10">
        <f t="shared" si="50"/>
        <v>16</v>
      </c>
    </row>
    <row r="392" spans="2:9" x14ac:dyDescent="0.25">
      <c r="B392" s="79" t="s">
        <v>7</v>
      </c>
      <c r="C392" s="8">
        <v>0</v>
      </c>
      <c r="D392" s="9">
        <v>8</v>
      </c>
      <c r="E392" s="10">
        <f t="shared" si="48"/>
        <v>8</v>
      </c>
      <c r="F392" s="8">
        <v>12</v>
      </c>
      <c r="G392" s="10">
        <f t="shared" si="49"/>
        <v>12</v>
      </c>
      <c r="H392" s="8">
        <v>15</v>
      </c>
      <c r="I392" s="10">
        <f t="shared" si="50"/>
        <v>15</v>
      </c>
    </row>
    <row r="393" spans="2:9" x14ac:dyDescent="0.25">
      <c r="B393" s="79" t="s">
        <v>8</v>
      </c>
      <c r="C393" s="8">
        <v>0</v>
      </c>
      <c r="D393" s="9">
        <v>9</v>
      </c>
      <c r="E393" s="10">
        <f t="shared" si="48"/>
        <v>9</v>
      </c>
      <c r="F393" s="8">
        <v>12</v>
      </c>
      <c r="G393" s="10">
        <f t="shared" si="49"/>
        <v>12</v>
      </c>
      <c r="H393" s="8">
        <v>10</v>
      </c>
      <c r="I393" s="10">
        <f t="shared" si="50"/>
        <v>10</v>
      </c>
    </row>
    <row r="394" spans="2:9" x14ac:dyDescent="0.25">
      <c r="B394" s="79" t="s">
        <v>14</v>
      </c>
      <c r="C394" s="8">
        <v>0</v>
      </c>
      <c r="D394" s="9">
        <v>8</v>
      </c>
      <c r="E394" s="10">
        <f t="shared" si="48"/>
        <v>8</v>
      </c>
      <c r="F394" s="8">
        <v>7</v>
      </c>
      <c r="G394" s="10">
        <f t="shared" si="49"/>
        <v>7</v>
      </c>
      <c r="H394" s="8">
        <v>9</v>
      </c>
      <c r="I394" s="10">
        <f t="shared" si="50"/>
        <v>9</v>
      </c>
    </row>
    <row r="395" spans="2:9" x14ac:dyDescent="0.25">
      <c r="B395" s="79" t="s">
        <v>21</v>
      </c>
      <c r="C395" s="8">
        <v>0</v>
      </c>
      <c r="D395" s="9">
        <v>5</v>
      </c>
      <c r="E395" s="10">
        <f t="shared" si="48"/>
        <v>5</v>
      </c>
      <c r="F395" s="8">
        <v>5</v>
      </c>
      <c r="G395" s="10">
        <f t="shared" si="49"/>
        <v>5</v>
      </c>
      <c r="H395" s="8">
        <v>8</v>
      </c>
      <c r="I395" s="10">
        <f t="shared" si="50"/>
        <v>8</v>
      </c>
    </row>
    <row r="396" spans="2:9" x14ac:dyDescent="0.25">
      <c r="B396" s="79" t="s">
        <v>16</v>
      </c>
      <c r="C396" s="8">
        <v>0</v>
      </c>
      <c r="D396" s="9">
        <v>14</v>
      </c>
      <c r="E396" s="10">
        <f t="shared" si="48"/>
        <v>14</v>
      </c>
      <c r="F396" s="8">
        <v>10</v>
      </c>
      <c r="G396" s="10">
        <f t="shared" si="49"/>
        <v>10</v>
      </c>
      <c r="H396" s="8">
        <v>7</v>
      </c>
      <c r="I396" s="10">
        <f t="shared" si="50"/>
        <v>7</v>
      </c>
    </row>
    <row r="397" spans="2:9" x14ac:dyDescent="0.25">
      <c r="B397" s="79" t="s">
        <v>10</v>
      </c>
      <c r="C397" s="8">
        <v>0</v>
      </c>
      <c r="D397" s="9">
        <v>25</v>
      </c>
      <c r="E397" s="10">
        <f t="shared" si="48"/>
        <v>25</v>
      </c>
      <c r="F397" s="8">
        <v>5</v>
      </c>
      <c r="G397" s="10">
        <f t="shared" si="49"/>
        <v>5</v>
      </c>
      <c r="H397" s="8">
        <v>7</v>
      </c>
      <c r="I397" s="10">
        <f t="shared" si="50"/>
        <v>7</v>
      </c>
    </row>
    <row r="398" spans="2:9" x14ac:dyDescent="0.25">
      <c r="B398" s="79" t="s">
        <v>20</v>
      </c>
      <c r="C398" s="8">
        <v>0</v>
      </c>
      <c r="D398" s="9">
        <v>5</v>
      </c>
      <c r="E398" s="10">
        <f t="shared" si="48"/>
        <v>5</v>
      </c>
      <c r="F398" s="8">
        <v>2</v>
      </c>
      <c r="G398" s="10">
        <f t="shared" si="49"/>
        <v>2</v>
      </c>
      <c r="H398" s="8">
        <v>6</v>
      </c>
      <c r="I398" s="10">
        <f t="shared" si="50"/>
        <v>6</v>
      </c>
    </row>
    <row r="399" spans="2:9" x14ac:dyDescent="0.25">
      <c r="B399" s="79" t="s">
        <v>6</v>
      </c>
      <c r="C399" s="8">
        <v>0</v>
      </c>
      <c r="D399" s="9">
        <v>62</v>
      </c>
      <c r="E399" s="10">
        <f t="shared" si="48"/>
        <v>62</v>
      </c>
      <c r="F399" s="8">
        <v>9</v>
      </c>
      <c r="G399" s="10">
        <f t="shared" si="49"/>
        <v>9</v>
      </c>
      <c r="H399" s="8">
        <v>5</v>
      </c>
      <c r="I399" s="10">
        <f t="shared" si="50"/>
        <v>5</v>
      </c>
    </row>
    <row r="400" spans="2:9" x14ac:dyDescent="0.25">
      <c r="B400" s="79" t="s">
        <v>22</v>
      </c>
      <c r="C400" s="8">
        <v>0</v>
      </c>
      <c r="D400" s="9">
        <v>4</v>
      </c>
      <c r="E400" s="10">
        <f t="shared" si="48"/>
        <v>4</v>
      </c>
      <c r="F400" s="8">
        <v>7</v>
      </c>
      <c r="G400" s="10">
        <f t="shared" si="49"/>
        <v>7</v>
      </c>
      <c r="H400" s="8">
        <v>5</v>
      </c>
      <c r="I400" s="10">
        <f t="shared" si="50"/>
        <v>5</v>
      </c>
    </row>
    <row r="401" spans="2:9" x14ac:dyDescent="0.25">
      <c r="B401" s="79" t="s">
        <v>9</v>
      </c>
      <c r="C401" s="8">
        <v>0</v>
      </c>
      <c r="D401" s="9">
        <v>8</v>
      </c>
      <c r="E401" s="10">
        <f t="shared" si="48"/>
        <v>8</v>
      </c>
      <c r="F401" s="8">
        <v>4</v>
      </c>
      <c r="G401" s="10">
        <f t="shared" si="49"/>
        <v>4</v>
      </c>
      <c r="H401" s="8">
        <v>3</v>
      </c>
      <c r="I401" s="10">
        <f t="shared" si="50"/>
        <v>3</v>
      </c>
    </row>
    <row r="402" spans="2:9" x14ac:dyDescent="0.25">
      <c r="B402" s="79" t="s">
        <v>17</v>
      </c>
      <c r="C402" s="8">
        <v>0</v>
      </c>
      <c r="D402" s="9">
        <v>10</v>
      </c>
      <c r="E402" s="10">
        <f t="shared" si="48"/>
        <v>10</v>
      </c>
      <c r="F402" s="8">
        <v>0</v>
      </c>
      <c r="G402" s="10">
        <f t="shared" si="49"/>
        <v>0</v>
      </c>
      <c r="H402" s="8">
        <v>3</v>
      </c>
      <c r="I402" s="10">
        <f t="shared" si="50"/>
        <v>3</v>
      </c>
    </row>
    <row r="403" spans="2:9" x14ac:dyDescent="0.25">
      <c r="B403" s="79" t="s">
        <v>23</v>
      </c>
      <c r="C403" s="8">
        <v>0</v>
      </c>
      <c r="D403" s="9">
        <v>0</v>
      </c>
      <c r="E403" s="10">
        <f t="shared" si="48"/>
        <v>0</v>
      </c>
      <c r="F403" s="8">
        <v>4</v>
      </c>
      <c r="G403" s="10">
        <f t="shared" si="49"/>
        <v>4</v>
      </c>
      <c r="H403" s="8">
        <v>1</v>
      </c>
      <c r="I403" s="10">
        <f t="shared" si="50"/>
        <v>1</v>
      </c>
    </row>
    <row r="404" spans="2:9" x14ac:dyDescent="0.25">
      <c r="B404" s="79" t="s">
        <v>13</v>
      </c>
      <c r="C404" s="8">
        <v>0</v>
      </c>
      <c r="D404" s="9">
        <v>24</v>
      </c>
      <c r="E404" s="10">
        <f t="shared" si="48"/>
        <v>24</v>
      </c>
      <c r="F404" s="8">
        <v>0</v>
      </c>
      <c r="G404" s="10">
        <f t="shared" si="49"/>
        <v>0</v>
      </c>
      <c r="H404" s="8">
        <v>0</v>
      </c>
      <c r="I404" s="10">
        <f t="shared" si="50"/>
        <v>0</v>
      </c>
    </row>
    <row r="405" spans="2:9" ht="15.75" thickBot="1" x14ac:dyDescent="0.3">
      <c r="B405" s="80" t="s">
        <v>18</v>
      </c>
      <c r="C405" s="14">
        <v>0</v>
      </c>
      <c r="D405" s="40">
        <v>1</v>
      </c>
      <c r="E405" s="15">
        <f t="shared" si="48"/>
        <v>1</v>
      </c>
      <c r="F405" s="14">
        <v>0</v>
      </c>
      <c r="G405" s="15">
        <f t="shared" si="49"/>
        <v>0</v>
      </c>
      <c r="H405" s="14">
        <v>0</v>
      </c>
      <c r="I405" s="15">
        <f t="shared" si="50"/>
        <v>0</v>
      </c>
    </row>
    <row r="406" spans="2:9" ht="15.75" thickBot="1" x14ac:dyDescent="0.3">
      <c r="B406" s="81" t="s">
        <v>3</v>
      </c>
      <c r="C406" s="74">
        <v>0</v>
      </c>
      <c r="D406" s="75">
        <f t="shared" ref="D406:I406" si="51">SUM(D386:D405)</f>
        <v>322</v>
      </c>
      <c r="E406" s="76">
        <f t="shared" si="51"/>
        <v>322</v>
      </c>
      <c r="F406" s="82">
        <f t="shared" si="51"/>
        <v>456</v>
      </c>
      <c r="G406" s="58">
        <f t="shared" si="51"/>
        <v>456</v>
      </c>
      <c r="H406" s="16">
        <f t="shared" si="51"/>
        <v>335</v>
      </c>
      <c r="I406" s="16">
        <f t="shared" si="51"/>
        <v>335</v>
      </c>
    </row>
    <row r="407" spans="2:9" ht="15.75" thickTop="1" x14ac:dyDescent="0.25"/>
    <row r="408" spans="2:9" ht="15.75" thickBot="1" x14ac:dyDescent="0.3"/>
    <row r="409" spans="2:9" ht="16.5" thickTop="1" thickBot="1" x14ac:dyDescent="0.3">
      <c r="B409" s="198" t="s">
        <v>0</v>
      </c>
      <c r="C409" s="73" t="s">
        <v>71</v>
      </c>
      <c r="D409" s="73"/>
      <c r="E409" s="73"/>
      <c r="F409" s="194" t="s">
        <v>81</v>
      </c>
      <c r="G409" s="195"/>
      <c r="H409" s="196" t="s">
        <v>82</v>
      </c>
      <c r="I409" s="197"/>
    </row>
    <row r="410" spans="2:9" ht="15.75" thickBot="1" x14ac:dyDescent="0.3">
      <c r="B410" s="199"/>
      <c r="C410" s="74">
        <v>2021</v>
      </c>
      <c r="D410" s="75">
        <v>2022</v>
      </c>
      <c r="E410" s="76" t="s">
        <v>3</v>
      </c>
      <c r="F410" s="58" t="s">
        <v>67</v>
      </c>
      <c r="G410" s="59" t="s">
        <v>3</v>
      </c>
      <c r="H410" s="1" t="s">
        <v>67</v>
      </c>
      <c r="I410" s="2" t="s">
        <v>3</v>
      </c>
    </row>
    <row r="411" spans="2:9" x14ac:dyDescent="0.25">
      <c r="B411" s="77" t="s">
        <v>4</v>
      </c>
      <c r="C411" s="3">
        <v>0</v>
      </c>
      <c r="D411" s="4">
        <v>50</v>
      </c>
      <c r="E411" s="5">
        <f t="shared" ref="E411:E430" si="52">+D411</f>
        <v>50</v>
      </c>
      <c r="F411" s="6">
        <v>16</v>
      </c>
      <c r="G411" s="51">
        <f t="shared" ref="G411:G430" si="53">F411</f>
        <v>16</v>
      </c>
      <c r="H411" s="53">
        <v>38</v>
      </c>
      <c r="I411" s="7">
        <f t="shared" ref="I411:I430" si="54">H411</f>
        <v>38</v>
      </c>
    </row>
    <row r="412" spans="2:9" x14ac:dyDescent="0.25">
      <c r="B412" s="78" t="s">
        <v>7</v>
      </c>
      <c r="C412" s="8">
        <v>0</v>
      </c>
      <c r="D412" s="9">
        <v>8</v>
      </c>
      <c r="E412" s="10">
        <f t="shared" si="52"/>
        <v>8</v>
      </c>
      <c r="F412" s="8">
        <v>15</v>
      </c>
      <c r="G412" s="51">
        <f t="shared" si="53"/>
        <v>15</v>
      </c>
      <c r="H412" s="18">
        <v>36</v>
      </c>
      <c r="I412" s="7">
        <f t="shared" si="54"/>
        <v>36</v>
      </c>
    </row>
    <row r="413" spans="2:9" x14ac:dyDescent="0.25">
      <c r="B413" s="79" t="s">
        <v>5</v>
      </c>
      <c r="C413" s="8">
        <v>0</v>
      </c>
      <c r="D413" s="9">
        <v>46</v>
      </c>
      <c r="E413" s="10">
        <f t="shared" si="52"/>
        <v>46</v>
      </c>
      <c r="F413" s="8">
        <v>27</v>
      </c>
      <c r="G413" s="51">
        <f t="shared" si="53"/>
        <v>27</v>
      </c>
      <c r="H413" s="18">
        <v>23</v>
      </c>
      <c r="I413" s="7">
        <f t="shared" si="54"/>
        <v>23</v>
      </c>
    </row>
    <row r="414" spans="2:9" x14ac:dyDescent="0.25">
      <c r="B414" s="78" t="s">
        <v>11</v>
      </c>
      <c r="C414" s="8">
        <v>0</v>
      </c>
      <c r="D414" s="9">
        <v>5</v>
      </c>
      <c r="E414" s="10">
        <f t="shared" si="52"/>
        <v>5</v>
      </c>
      <c r="F414" s="8">
        <v>37</v>
      </c>
      <c r="G414" s="51">
        <f t="shared" si="53"/>
        <v>37</v>
      </c>
      <c r="H414" s="18">
        <v>17</v>
      </c>
      <c r="I414" s="7">
        <f t="shared" si="54"/>
        <v>17</v>
      </c>
    </row>
    <row r="415" spans="2:9" x14ac:dyDescent="0.25">
      <c r="B415" s="79" t="s">
        <v>12</v>
      </c>
      <c r="C415" s="8">
        <v>0</v>
      </c>
      <c r="D415" s="9">
        <v>10</v>
      </c>
      <c r="E415" s="10">
        <f t="shared" si="52"/>
        <v>10</v>
      </c>
      <c r="F415" s="8">
        <v>18</v>
      </c>
      <c r="G415" s="51">
        <f t="shared" si="53"/>
        <v>18</v>
      </c>
      <c r="H415" s="18">
        <v>15</v>
      </c>
      <c r="I415" s="7">
        <f t="shared" si="54"/>
        <v>15</v>
      </c>
    </row>
    <row r="416" spans="2:9" x14ac:dyDescent="0.25">
      <c r="B416" s="79" t="s">
        <v>19</v>
      </c>
      <c r="C416" s="8">
        <v>0</v>
      </c>
      <c r="D416" s="9">
        <v>24</v>
      </c>
      <c r="E416" s="10">
        <f t="shared" si="52"/>
        <v>24</v>
      </c>
      <c r="F416" s="8">
        <v>23</v>
      </c>
      <c r="G416" s="51">
        <f t="shared" si="53"/>
        <v>23</v>
      </c>
      <c r="H416" s="18">
        <v>11</v>
      </c>
      <c r="I416" s="7">
        <f t="shared" si="54"/>
        <v>11</v>
      </c>
    </row>
    <row r="417" spans="2:9" x14ac:dyDescent="0.25">
      <c r="B417" s="79" t="s">
        <v>10</v>
      </c>
      <c r="C417" s="8">
        <v>0</v>
      </c>
      <c r="D417" s="9">
        <v>25</v>
      </c>
      <c r="E417" s="10">
        <f t="shared" si="52"/>
        <v>25</v>
      </c>
      <c r="F417" s="8">
        <v>7</v>
      </c>
      <c r="G417" s="51">
        <f t="shared" si="53"/>
        <v>7</v>
      </c>
      <c r="H417" s="18">
        <v>11</v>
      </c>
      <c r="I417" s="7">
        <f t="shared" si="54"/>
        <v>11</v>
      </c>
    </row>
    <row r="418" spans="2:9" x14ac:dyDescent="0.25">
      <c r="B418" s="79" t="s">
        <v>14</v>
      </c>
      <c r="C418" s="8">
        <v>0</v>
      </c>
      <c r="D418" s="9">
        <v>8</v>
      </c>
      <c r="E418" s="10">
        <f t="shared" si="52"/>
        <v>8</v>
      </c>
      <c r="F418" s="8">
        <v>9</v>
      </c>
      <c r="G418" s="51">
        <f t="shared" si="53"/>
        <v>9</v>
      </c>
      <c r="H418" s="18">
        <v>10</v>
      </c>
      <c r="I418" s="7">
        <f t="shared" si="54"/>
        <v>10</v>
      </c>
    </row>
    <row r="419" spans="2:9" x14ac:dyDescent="0.25">
      <c r="B419" s="79" t="s">
        <v>6</v>
      </c>
      <c r="C419" s="8">
        <v>0</v>
      </c>
      <c r="D419" s="9">
        <v>62</v>
      </c>
      <c r="E419" s="10">
        <f t="shared" si="52"/>
        <v>62</v>
      </c>
      <c r="F419" s="8">
        <v>5</v>
      </c>
      <c r="G419" s="51">
        <f t="shared" si="53"/>
        <v>5</v>
      </c>
      <c r="H419" s="18">
        <v>9</v>
      </c>
      <c r="I419" s="7">
        <f t="shared" si="54"/>
        <v>9</v>
      </c>
    </row>
    <row r="420" spans="2:9" x14ac:dyDescent="0.25">
      <c r="B420" s="79" t="s">
        <v>8</v>
      </c>
      <c r="C420" s="8">
        <v>0</v>
      </c>
      <c r="D420" s="9">
        <v>9</v>
      </c>
      <c r="E420" s="10">
        <f t="shared" si="52"/>
        <v>9</v>
      </c>
      <c r="F420" s="8">
        <v>10</v>
      </c>
      <c r="G420" s="51">
        <f t="shared" si="53"/>
        <v>10</v>
      </c>
      <c r="H420" s="18">
        <v>5</v>
      </c>
      <c r="I420" s="7">
        <f t="shared" si="54"/>
        <v>5</v>
      </c>
    </row>
    <row r="421" spans="2:9" x14ac:dyDescent="0.25">
      <c r="B421" s="79" t="s">
        <v>20</v>
      </c>
      <c r="C421" s="8">
        <v>0</v>
      </c>
      <c r="D421" s="9">
        <v>5</v>
      </c>
      <c r="E421" s="10">
        <f t="shared" si="52"/>
        <v>5</v>
      </c>
      <c r="F421" s="8">
        <v>6</v>
      </c>
      <c r="G421" s="51">
        <f t="shared" si="53"/>
        <v>6</v>
      </c>
      <c r="H421" s="18">
        <v>4</v>
      </c>
      <c r="I421" s="7">
        <f t="shared" si="54"/>
        <v>4</v>
      </c>
    </row>
    <row r="422" spans="2:9" x14ac:dyDescent="0.25">
      <c r="B422" s="79" t="s">
        <v>22</v>
      </c>
      <c r="C422" s="8">
        <v>0</v>
      </c>
      <c r="D422" s="9">
        <v>4</v>
      </c>
      <c r="E422" s="10">
        <f t="shared" si="52"/>
        <v>4</v>
      </c>
      <c r="F422" s="8">
        <v>5</v>
      </c>
      <c r="G422" s="51">
        <f t="shared" si="53"/>
        <v>5</v>
      </c>
      <c r="H422" s="18">
        <v>4</v>
      </c>
      <c r="I422" s="7">
        <f t="shared" si="54"/>
        <v>4</v>
      </c>
    </row>
    <row r="423" spans="2:9" x14ac:dyDescent="0.25">
      <c r="B423" s="79" t="s">
        <v>17</v>
      </c>
      <c r="C423" s="8">
        <v>0</v>
      </c>
      <c r="D423" s="9">
        <v>10</v>
      </c>
      <c r="E423" s="10">
        <f t="shared" si="52"/>
        <v>10</v>
      </c>
      <c r="F423" s="8">
        <v>3</v>
      </c>
      <c r="G423" s="51">
        <f t="shared" si="53"/>
        <v>3</v>
      </c>
      <c r="H423" s="18">
        <v>4</v>
      </c>
      <c r="I423" s="7">
        <f t="shared" si="54"/>
        <v>4</v>
      </c>
    </row>
    <row r="424" spans="2:9" x14ac:dyDescent="0.25">
      <c r="B424" s="79" t="s">
        <v>15</v>
      </c>
      <c r="C424" s="8">
        <v>0</v>
      </c>
      <c r="D424" s="9">
        <v>4</v>
      </c>
      <c r="E424" s="10">
        <f t="shared" si="52"/>
        <v>4</v>
      </c>
      <c r="F424" s="8">
        <v>135</v>
      </c>
      <c r="G424" s="51">
        <f t="shared" si="53"/>
        <v>135</v>
      </c>
      <c r="H424" s="18">
        <v>3</v>
      </c>
      <c r="I424" s="7">
        <f t="shared" si="54"/>
        <v>3</v>
      </c>
    </row>
    <row r="425" spans="2:9" x14ac:dyDescent="0.25">
      <c r="B425" s="79" t="s">
        <v>16</v>
      </c>
      <c r="C425" s="8">
        <v>0</v>
      </c>
      <c r="D425" s="9">
        <v>14</v>
      </c>
      <c r="E425" s="10">
        <f t="shared" si="52"/>
        <v>14</v>
      </c>
      <c r="F425" s="8">
        <v>7</v>
      </c>
      <c r="G425" s="51">
        <f t="shared" si="53"/>
        <v>7</v>
      </c>
      <c r="H425" s="18">
        <v>3</v>
      </c>
      <c r="I425" s="7">
        <f t="shared" si="54"/>
        <v>3</v>
      </c>
    </row>
    <row r="426" spans="2:9" x14ac:dyDescent="0.25">
      <c r="B426" s="79" t="s">
        <v>21</v>
      </c>
      <c r="C426" s="8">
        <v>0</v>
      </c>
      <c r="D426" s="9">
        <v>5</v>
      </c>
      <c r="E426" s="10">
        <f t="shared" si="52"/>
        <v>5</v>
      </c>
      <c r="F426" s="8">
        <v>8</v>
      </c>
      <c r="G426" s="51">
        <f t="shared" si="53"/>
        <v>8</v>
      </c>
      <c r="H426" s="18">
        <v>2</v>
      </c>
      <c r="I426" s="7">
        <f t="shared" si="54"/>
        <v>2</v>
      </c>
    </row>
    <row r="427" spans="2:9" x14ac:dyDescent="0.25">
      <c r="B427" s="79" t="s">
        <v>9</v>
      </c>
      <c r="C427" s="8">
        <v>0</v>
      </c>
      <c r="D427" s="9">
        <v>8</v>
      </c>
      <c r="E427" s="10">
        <f t="shared" si="52"/>
        <v>8</v>
      </c>
      <c r="F427" s="8">
        <v>3</v>
      </c>
      <c r="G427" s="51">
        <f t="shared" si="53"/>
        <v>3</v>
      </c>
      <c r="H427" s="18">
        <v>1</v>
      </c>
      <c r="I427" s="7">
        <f t="shared" si="54"/>
        <v>1</v>
      </c>
    </row>
    <row r="428" spans="2:9" x14ac:dyDescent="0.25">
      <c r="B428" s="79" t="s">
        <v>23</v>
      </c>
      <c r="C428" s="8">
        <v>0</v>
      </c>
      <c r="D428" s="9">
        <v>0</v>
      </c>
      <c r="E428" s="10">
        <f t="shared" si="52"/>
        <v>0</v>
      </c>
      <c r="F428" s="8">
        <v>1</v>
      </c>
      <c r="G428" s="51">
        <f t="shared" si="53"/>
        <v>1</v>
      </c>
      <c r="H428" s="18">
        <v>1</v>
      </c>
      <c r="I428" s="7">
        <f t="shared" si="54"/>
        <v>1</v>
      </c>
    </row>
    <row r="429" spans="2:9" x14ac:dyDescent="0.25">
      <c r="B429" s="79" t="s">
        <v>13</v>
      </c>
      <c r="C429" s="8">
        <v>0</v>
      </c>
      <c r="D429" s="9">
        <v>24</v>
      </c>
      <c r="E429" s="10">
        <f t="shared" si="52"/>
        <v>24</v>
      </c>
      <c r="F429" s="8">
        <v>0</v>
      </c>
      <c r="G429" s="51">
        <f t="shared" si="53"/>
        <v>0</v>
      </c>
      <c r="H429" s="18">
        <v>0</v>
      </c>
      <c r="I429" s="7">
        <f t="shared" si="54"/>
        <v>0</v>
      </c>
    </row>
    <row r="430" spans="2:9" ht="15.75" thickBot="1" x14ac:dyDescent="0.3">
      <c r="B430" s="80" t="s">
        <v>18</v>
      </c>
      <c r="C430" s="14">
        <v>0</v>
      </c>
      <c r="D430" s="40">
        <v>1</v>
      </c>
      <c r="E430" s="15">
        <f t="shared" si="52"/>
        <v>1</v>
      </c>
      <c r="F430" s="14">
        <v>0</v>
      </c>
      <c r="G430" s="51">
        <f t="shared" si="53"/>
        <v>0</v>
      </c>
      <c r="H430" s="52">
        <v>0</v>
      </c>
      <c r="I430" s="7">
        <f t="shared" si="54"/>
        <v>0</v>
      </c>
    </row>
    <row r="431" spans="2:9" ht="15.75" thickBot="1" x14ac:dyDescent="0.3">
      <c r="B431" s="81" t="s">
        <v>3</v>
      </c>
      <c r="C431" s="74">
        <v>0</v>
      </c>
      <c r="D431" s="75">
        <f t="shared" ref="D431:E431" si="55">SUM(D411:D430)</f>
        <v>322</v>
      </c>
      <c r="E431" s="76">
        <f t="shared" si="55"/>
        <v>322</v>
      </c>
      <c r="F431" s="82">
        <f>SUM(F411:F430)</f>
        <v>335</v>
      </c>
      <c r="G431" s="82">
        <f>SUM(G411:G430)</f>
        <v>335</v>
      </c>
      <c r="H431" s="16">
        <f>SUM(H411:H430)</f>
        <v>197</v>
      </c>
      <c r="I431" s="16">
        <f>SUM(I411:I430)</f>
        <v>197</v>
      </c>
    </row>
    <row r="432" spans="2:9" ht="15.75" thickTop="1" x14ac:dyDescent="0.25"/>
    <row r="434" spans="2:9" ht="15.75" thickBot="1" x14ac:dyDescent="0.3"/>
    <row r="435" spans="2:9" ht="16.5" thickTop="1" thickBot="1" x14ac:dyDescent="0.3">
      <c r="B435" s="198" t="s">
        <v>0</v>
      </c>
      <c r="C435" s="73" t="s">
        <v>71</v>
      </c>
      <c r="D435" s="73"/>
      <c r="E435" s="73"/>
      <c r="F435" s="194" t="s">
        <v>82</v>
      </c>
      <c r="G435" s="195"/>
      <c r="H435" s="196" t="s">
        <v>83</v>
      </c>
      <c r="I435" s="197"/>
    </row>
    <row r="436" spans="2:9" ht="15.75" thickBot="1" x14ac:dyDescent="0.3">
      <c r="B436" s="199"/>
      <c r="C436" s="74">
        <v>2021</v>
      </c>
      <c r="D436" s="75">
        <v>2022</v>
      </c>
      <c r="E436" s="76" t="s">
        <v>3</v>
      </c>
      <c r="F436" s="58" t="s">
        <v>67</v>
      </c>
      <c r="G436" s="59" t="s">
        <v>3</v>
      </c>
      <c r="H436" s="1" t="s">
        <v>67</v>
      </c>
      <c r="I436" s="2" t="s">
        <v>3</v>
      </c>
    </row>
    <row r="437" spans="2:9" x14ac:dyDescent="0.25">
      <c r="B437" s="77" t="s">
        <v>4</v>
      </c>
      <c r="C437" s="3">
        <v>0</v>
      </c>
      <c r="D437" s="4">
        <v>50</v>
      </c>
      <c r="E437" s="5">
        <f t="shared" ref="E437:E456" si="56">+D437</f>
        <v>50</v>
      </c>
      <c r="F437" s="53">
        <v>38</v>
      </c>
      <c r="G437" s="51">
        <f t="shared" ref="G437:G456" si="57">F437</f>
        <v>38</v>
      </c>
      <c r="H437" s="53">
        <v>45</v>
      </c>
      <c r="I437" s="7">
        <f t="shared" ref="I437:I456" si="58">H437</f>
        <v>45</v>
      </c>
    </row>
    <row r="438" spans="2:9" x14ac:dyDescent="0.25">
      <c r="B438" s="78" t="s">
        <v>7</v>
      </c>
      <c r="C438" s="8">
        <v>0</v>
      </c>
      <c r="D438" s="9">
        <v>8</v>
      </c>
      <c r="E438" s="10">
        <f t="shared" si="56"/>
        <v>8</v>
      </c>
      <c r="F438" s="18">
        <v>36</v>
      </c>
      <c r="G438" s="51">
        <f t="shared" si="57"/>
        <v>36</v>
      </c>
      <c r="H438" s="18">
        <v>34</v>
      </c>
      <c r="I438" s="7">
        <f t="shared" si="58"/>
        <v>34</v>
      </c>
    </row>
    <row r="439" spans="2:9" x14ac:dyDescent="0.25">
      <c r="B439" s="79" t="s">
        <v>5</v>
      </c>
      <c r="C439" s="8">
        <v>0</v>
      </c>
      <c r="D439" s="9">
        <v>46</v>
      </c>
      <c r="E439" s="10">
        <f t="shared" si="56"/>
        <v>46</v>
      </c>
      <c r="F439" s="18">
        <v>23</v>
      </c>
      <c r="G439" s="51">
        <f t="shared" si="57"/>
        <v>23</v>
      </c>
      <c r="H439" s="18">
        <v>21</v>
      </c>
      <c r="I439" s="7">
        <f t="shared" si="58"/>
        <v>21</v>
      </c>
    </row>
    <row r="440" spans="2:9" x14ac:dyDescent="0.25">
      <c r="B440" s="78" t="s">
        <v>11</v>
      </c>
      <c r="C440" s="8">
        <v>0</v>
      </c>
      <c r="D440" s="9">
        <v>5</v>
      </c>
      <c r="E440" s="10">
        <f t="shared" si="56"/>
        <v>5</v>
      </c>
      <c r="F440" s="18">
        <v>17</v>
      </c>
      <c r="G440" s="51">
        <f t="shared" si="57"/>
        <v>17</v>
      </c>
      <c r="H440" s="18">
        <v>13</v>
      </c>
      <c r="I440" s="7">
        <f t="shared" si="58"/>
        <v>13</v>
      </c>
    </row>
    <row r="441" spans="2:9" x14ac:dyDescent="0.25">
      <c r="B441" s="79" t="s">
        <v>10</v>
      </c>
      <c r="C441" s="8">
        <v>0</v>
      </c>
      <c r="D441" s="9">
        <v>25</v>
      </c>
      <c r="E441" s="10">
        <f t="shared" si="56"/>
        <v>25</v>
      </c>
      <c r="F441" s="18">
        <v>11</v>
      </c>
      <c r="G441" s="51">
        <f t="shared" si="57"/>
        <v>11</v>
      </c>
      <c r="H441" s="18">
        <v>12</v>
      </c>
      <c r="I441" s="7">
        <f t="shared" si="58"/>
        <v>12</v>
      </c>
    </row>
    <row r="442" spans="2:9" x14ac:dyDescent="0.25">
      <c r="B442" s="79" t="s">
        <v>6</v>
      </c>
      <c r="C442" s="8">
        <v>0</v>
      </c>
      <c r="D442" s="9">
        <v>62</v>
      </c>
      <c r="E442" s="10">
        <f t="shared" si="56"/>
        <v>62</v>
      </c>
      <c r="F442" s="18">
        <v>9</v>
      </c>
      <c r="G442" s="51">
        <f t="shared" si="57"/>
        <v>9</v>
      </c>
      <c r="H442" s="18">
        <v>10</v>
      </c>
      <c r="I442" s="7">
        <f t="shared" si="58"/>
        <v>10</v>
      </c>
    </row>
    <row r="443" spans="2:9" x14ac:dyDescent="0.25">
      <c r="B443" s="79" t="s">
        <v>9</v>
      </c>
      <c r="C443" s="8">
        <v>0</v>
      </c>
      <c r="D443" s="9">
        <v>8</v>
      </c>
      <c r="E443" s="10">
        <f t="shared" si="56"/>
        <v>8</v>
      </c>
      <c r="F443" s="18">
        <v>1</v>
      </c>
      <c r="G443" s="51">
        <f t="shared" si="57"/>
        <v>1</v>
      </c>
      <c r="H443" s="18">
        <v>9</v>
      </c>
      <c r="I443" s="7">
        <f t="shared" si="58"/>
        <v>9</v>
      </c>
    </row>
    <row r="444" spans="2:9" x14ac:dyDescent="0.25">
      <c r="B444" s="79" t="s">
        <v>14</v>
      </c>
      <c r="C444" s="8">
        <v>0</v>
      </c>
      <c r="D444" s="9">
        <v>8</v>
      </c>
      <c r="E444" s="10">
        <f t="shared" si="56"/>
        <v>8</v>
      </c>
      <c r="F444" s="18">
        <v>10</v>
      </c>
      <c r="G444" s="51">
        <f t="shared" si="57"/>
        <v>10</v>
      </c>
      <c r="H444" s="18">
        <v>7</v>
      </c>
      <c r="I444" s="7">
        <f t="shared" si="58"/>
        <v>7</v>
      </c>
    </row>
    <row r="445" spans="2:9" x14ac:dyDescent="0.25">
      <c r="B445" s="79" t="s">
        <v>17</v>
      </c>
      <c r="C445" s="8">
        <v>0</v>
      </c>
      <c r="D445" s="9">
        <v>10</v>
      </c>
      <c r="E445" s="10">
        <f t="shared" si="56"/>
        <v>10</v>
      </c>
      <c r="F445" s="18">
        <v>4</v>
      </c>
      <c r="G445" s="51">
        <f t="shared" si="57"/>
        <v>4</v>
      </c>
      <c r="H445" s="18">
        <v>7</v>
      </c>
      <c r="I445" s="7">
        <f t="shared" si="58"/>
        <v>7</v>
      </c>
    </row>
    <row r="446" spans="2:9" x14ac:dyDescent="0.25">
      <c r="B446" s="79" t="s">
        <v>12</v>
      </c>
      <c r="C446" s="8">
        <v>0</v>
      </c>
      <c r="D446" s="9">
        <v>10</v>
      </c>
      <c r="E446" s="10">
        <f t="shared" si="56"/>
        <v>10</v>
      </c>
      <c r="F446" s="18">
        <v>15</v>
      </c>
      <c r="G446" s="51">
        <f t="shared" si="57"/>
        <v>15</v>
      </c>
      <c r="H446" s="18">
        <v>6</v>
      </c>
      <c r="I446" s="7">
        <f t="shared" si="58"/>
        <v>6</v>
      </c>
    </row>
    <row r="447" spans="2:9" x14ac:dyDescent="0.25">
      <c r="B447" s="79" t="s">
        <v>8</v>
      </c>
      <c r="C447" s="8">
        <v>0</v>
      </c>
      <c r="D447" s="9">
        <v>9</v>
      </c>
      <c r="E447" s="10">
        <f t="shared" si="56"/>
        <v>9</v>
      </c>
      <c r="F447" s="18">
        <v>5</v>
      </c>
      <c r="G447" s="51">
        <f t="shared" si="57"/>
        <v>5</v>
      </c>
      <c r="H447" s="18">
        <v>6</v>
      </c>
      <c r="I447" s="7">
        <f t="shared" si="58"/>
        <v>6</v>
      </c>
    </row>
    <row r="448" spans="2:9" x14ac:dyDescent="0.25">
      <c r="B448" s="79" t="s">
        <v>20</v>
      </c>
      <c r="C448" s="8">
        <v>0</v>
      </c>
      <c r="D448" s="9">
        <v>5</v>
      </c>
      <c r="E448" s="10">
        <f t="shared" si="56"/>
        <v>5</v>
      </c>
      <c r="F448" s="18">
        <v>4</v>
      </c>
      <c r="G448" s="51">
        <f t="shared" si="57"/>
        <v>4</v>
      </c>
      <c r="H448" s="18">
        <v>5</v>
      </c>
      <c r="I448" s="7">
        <f t="shared" si="58"/>
        <v>5</v>
      </c>
    </row>
    <row r="449" spans="2:9" x14ac:dyDescent="0.25">
      <c r="B449" s="79" t="s">
        <v>22</v>
      </c>
      <c r="C449" s="8">
        <v>0</v>
      </c>
      <c r="D449" s="9">
        <v>4</v>
      </c>
      <c r="E449" s="10">
        <f t="shared" si="56"/>
        <v>4</v>
      </c>
      <c r="F449" s="18">
        <v>4</v>
      </c>
      <c r="G449" s="51">
        <f t="shared" si="57"/>
        <v>4</v>
      </c>
      <c r="H449" s="18">
        <v>4</v>
      </c>
      <c r="I449" s="7">
        <f t="shared" si="58"/>
        <v>4</v>
      </c>
    </row>
    <row r="450" spans="2:9" x14ac:dyDescent="0.25">
      <c r="B450" s="79" t="s">
        <v>16</v>
      </c>
      <c r="C450" s="8">
        <v>0</v>
      </c>
      <c r="D450" s="9">
        <v>14</v>
      </c>
      <c r="E450" s="10">
        <f t="shared" si="56"/>
        <v>14</v>
      </c>
      <c r="F450" s="18">
        <v>3</v>
      </c>
      <c r="G450" s="51">
        <f t="shared" si="57"/>
        <v>3</v>
      </c>
      <c r="H450" s="18">
        <v>4</v>
      </c>
      <c r="I450" s="7">
        <f t="shared" si="58"/>
        <v>4</v>
      </c>
    </row>
    <row r="451" spans="2:9" x14ac:dyDescent="0.25">
      <c r="B451" s="79" t="s">
        <v>21</v>
      </c>
      <c r="C451" s="8">
        <v>0</v>
      </c>
      <c r="D451" s="9">
        <v>5</v>
      </c>
      <c r="E451" s="10">
        <f t="shared" si="56"/>
        <v>5</v>
      </c>
      <c r="F451" s="18">
        <v>2</v>
      </c>
      <c r="G451" s="51">
        <f t="shared" si="57"/>
        <v>2</v>
      </c>
      <c r="H451" s="18">
        <v>4</v>
      </c>
      <c r="I451" s="7">
        <f t="shared" si="58"/>
        <v>4</v>
      </c>
    </row>
    <row r="452" spans="2:9" x14ac:dyDescent="0.25">
      <c r="B452" s="79" t="s">
        <v>15</v>
      </c>
      <c r="C452" s="8">
        <v>0</v>
      </c>
      <c r="D452" s="9">
        <v>4</v>
      </c>
      <c r="E452" s="10">
        <f t="shared" si="56"/>
        <v>4</v>
      </c>
      <c r="F452" s="18">
        <v>3</v>
      </c>
      <c r="G452" s="51">
        <f t="shared" si="57"/>
        <v>3</v>
      </c>
      <c r="H452" s="18">
        <v>2</v>
      </c>
      <c r="I452" s="7">
        <f t="shared" si="58"/>
        <v>2</v>
      </c>
    </row>
    <row r="453" spans="2:9" x14ac:dyDescent="0.25">
      <c r="B453" s="79" t="s">
        <v>19</v>
      </c>
      <c r="C453" s="8">
        <v>0</v>
      </c>
      <c r="D453" s="9">
        <v>24</v>
      </c>
      <c r="E453" s="10">
        <f t="shared" si="56"/>
        <v>24</v>
      </c>
      <c r="F453" s="18">
        <v>11</v>
      </c>
      <c r="G453" s="51">
        <f t="shared" si="57"/>
        <v>11</v>
      </c>
      <c r="H453" s="18">
        <v>1</v>
      </c>
      <c r="I453" s="7">
        <f t="shared" si="58"/>
        <v>1</v>
      </c>
    </row>
    <row r="454" spans="2:9" x14ac:dyDescent="0.25">
      <c r="B454" s="79" t="s">
        <v>23</v>
      </c>
      <c r="C454" s="8">
        <v>0</v>
      </c>
      <c r="D454" s="9">
        <v>0</v>
      </c>
      <c r="E454" s="10">
        <f t="shared" si="56"/>
        <v>0</v>
      </c>
      <c r="F454" s="18">
        <v>1</v>
      </c>
      <c r="G454" s="51">
        <f t="shared" si="57"/>
        <v>1</v>
      </c>
      <c r="H454" s="18">
        <v>1</v>
      </c>
      <c r="I454" s="7">
        <f t="shared" si="58"/>
        <v>1</v>
      </c>
    </row>
    <row r="455" spans="2:9" x14ac:dyDescent="0.25">
      <c r="B455" s="79" t="s">
        <v>13</v>
      </c>
      <c r="C455" s="8">
        <v>0</v>
      </c>
      <c r="D455" s="9">
        <v>24</v>
      </c>
      <c r="E455" s="10">
        <f t="shared" si="56"/>
        <v>24</v>
      </c>
      <c r="F455" s="18">
        <v>0</v>
      </c>
      <c r="G455" s="51">
        <f t="shared" si="57"/>
        <v>0</v>
      </c>
      <c r="H455" s="18">
        <v>1</v>
      </c>
      <c r="I455" s="7">
        <f t="shared" si="58"/>
        <v>1</v>
      </c>
    </row>
    <row r="456" spans="2:9" ht="15.75" thickBot="1" x14ac:dyDescent="0.3">
      <c r="B456" s="80" t="s">
        <v>18</v>
      </c>
      <c r="C456" s="14">
        <v>0</v>
      </c>
      <c r="D456" s="40">
        <v>1</v>
      </c>
      <c r="E456" s="15">
        <f t="shared" si="56"/>
        <v>1</v>
      </c>
      <c r="F456" s="52">
        <v>0</v>
      </c>
      <c r="G456" s="51">
        <f t="shared" si="57"/>
        <v>0</v>
      </c>
      <c r="H456" s="52">
        <v>0</v>
      </c>
      <c r="I456" s="7">
        <f t="shared" si="58"/>
        <v>0</v>
      </c>
    </row>
    <row r="457" spans="2:9" ht="15.75" thickBot="1" x14ac:dyDescent="0.3">
      <c r="B457" s="81" t="s">
        <v>3</v>
      </c>
      <c r="C457" s="74">
        <v>0</v>
      </c>
      <c r="D457" s="75">
        <f t="shared" ref="D457:E457" si="59">SUM(D437:D456)</f>
        <v>322</v>
      </c>
      <c r="E457" s="76">
        <f t="shared" si="59"/>
        <v>322</v>
      </c>
      <c r="F457" s="82">
        <f>SUM(F437:F456)</f>
        <v>197</v>
      </c>
      <c r="G457" s="82">
        <f>SUM(G437:G456)</f>
        <v>197</v>
      </c>
      <c r="H457" s="16">
        <f>SUM(H437:H456)</f>
        <v>192</v>
      </c>
      <c r="I457" s="16">
        <f>SUM(I437:I456)</f>
        <v>192</v>
      </c>
    </row>
    <row r="458" spans="2:9" ht="15.75" thickTop="1" x14ac:dyDescent="0.25"/>
    <row r="459" spans="2:9" ht="15.75" thickBot="1" x14ac:dyDescent="0.3"/>
    <row r="460" spans="2:9" ht="16.5" thickTop="1" thickBot="1" x14ac:dyDescent="0.3">
      <c r="B460" s="85"/>
      <c r="C460" s="73" t="s">
        <v>71</v>
      </c>
      <c r="D460" s="73"/>
      <c r="E460" s="73"/>
      <c r="F460" s="194" t="s">
        <v>83</v>
      </c>
      <c r="G460" s="195"/>
      <c r="H460" s="196" t="s">
        <v>84</v>
      </c>
      <c r="I460" s="197"/>
    </row>
    <row r="461" spans="2:9" ht="15.75" thickBot="1" x14ac:dyDescent="0.3">
      <c r="B461" s="48" t="s">
        <v>0</v>
      </c>
      <c r="C461" s="74">
        <v>2021</v>
      </c>
      <c r="D461" s="75">
        <v>2022</v>
      </c>
      <c r="E461" s="76" t="s">
        <v>109</v>
      </c>
      <c r="F461" s="58" t="s">
        <v>67</v>
      </c>
      <c r="G461" s="59" t="s">
        <v>111</v>
      </c>
      <c r="H461" s="1" t="s">
        <v>67</v>
      </c>
      <c r="I461" s="2" t="s">
        <v>110</v>
      </c>
    </row>
    <row r="462" spans="2:9" x14ac:dyDescent="0.25">
      <c r="B462" s="77" t="s">
        <v>59</v>
      </c>
      <c r="C462" s="136">
        <v>0</v>
      </c>
      <c r="D462" s="137">
        <v>50</v>
      </c>
      <c r="E462" s="138">
        <f t="shared" ref="E462:E481" si="60">+D462</f>
        <v>50</v>
      </c>
      <c r="F462" s="139">
        <v>45</v>
      </c>
      <c r="G462" s="140">
        <f t="shared" ref="G462:G481" si="61">F462</f>
        <v>45</v>
      </c>
      <c r="H462" s="139">
        <v>44</v>
      </c>
      <c r="I462" s="141">
        <f t="shared" ref="I462:I481" si="62">H462</f>
        <v>44</v>
      </c>
    </row>
    <row r="463" spans="2:9" x14ac:dyDescent="0.25">
      <c r="B463" s="78" t="s">
        <v>93</v>
      </c>
      <c r="C463" s="142">
        <v>0</v>
      </c>
      <c r="D463" s="143">
        <v>46</v>
      </c>
      <c r="E463" s="144">
        <f t="shared" si="60"/>
        <v>46</v>
      </c>
      <c r="F463" s="145">
        <v>21</v>
      </c>
      <c r="G463" s="140">
        <f t="shared" si="61"/>
        <v>21</v>
      </c>
      <c r="H463" s="145">
        <v>27</v>
      </c>
      <c r="I463" s="141">
        <f t="shared" si="62"/>
        <v>27</v>
      </c>
    </row>
    <row r="464" spans="2:9" x14ac:dyDescent="0.25">
      <c r="B464" s="79" t="s">
        <v>58</v>
      </c>
      <c r="C464" s="142">
        <v>0</v>
      </c>
      <c r="D464" s="143">
        <v>8</v>
      </c>
      <c r="E464" s="144">
        <f t="shared" si="60"/>
        <v>8</v>
      </c>
      <c r="F464" s="145">
        <v>34</v>
      </c>
      <c r="G464" s="140">
        <f t="shared" si="61"/>
        <v>34</v>
      </c>
      <c r="H464" s="145">
        <v>21</v>
      </c>
      <c r="I464" s="141">
        <f t="shared" si="62"/>
        <v>21</v>
      </c>
    </row>
    <row r="465" spans="2:9" x14ac:dyDescent="0.25">
      <c r="B465" s="78" t="s">
        <v>57</v>
      </c>
      <c r="C465" s="142">
        <v>0</v>
      </c>
      <c r="D465" s="143">
        <v>5</v>
      </c>
      <c r="E465" s="144">
        <f t="shared" si="60"/>
        <v>5</v>
      </c>
      <c r="F465" s="145">
        <v>13</v>
      </c>
      <c r="G465" s="140">
        <f t="shared" si="61"/>
        <v>13</v>
      </c>
      <c r="H465" s="145">
        <v>15</v>
      </c>
      <c r="I465" s="141">
        <f t="shared" si="62"/>
        <v>15</v>
      </c>
    </row>
    <row r="466" spans="2:9" x14ac:dyDescent="0.25">
      <c r="B466" s="79" t="s">
        <v>56</v>
      </c>
      <c r="C466" s="142">
        <v>0</v>
      </c>
      <c r="D466" s="143">
        <v>25</v>
      </c>
      <c r="E466" s="144">
        <f t="shared" si="60"/>
        <v>25</v>
      </c>
      <c r="F466" s="145">
        <v>12</v>
      </c>
      <c r="G466" s="140">
        <f t="shared" si="61"/>
        <v>12</v>
      </c>
      <c r="H466" s="145">
        <v>13</v>
      </c>
      <c r="I466" s="141">
        <f t="shared" si="62"/>
        <v>13</v>
      </c>
    </row>
    <row r="467" spans="2:9" x14ac:dyDescent="0.25">
      <c r="B467" s="79" t="s">
        <v>55</v>
      </c>
      <c r="C467" s="142">
        <v>0</v>
      </c>
      <c r="D467" s="143">
        <v>62</v>
      </c>
      <c r="E467" s="144">
        <f t="shared" si="60"/>
        <v>62</v>
      </c>
      <c r="F467" s="145">
        <v>10</v>
      </c>
      <c r="G467" s="140">
        <f t="shared" si="61"/>
        <v>10</v>
      </c>
      <c r="H467" s="145">
        <v>12</v>
      </c>
      <c r="I467" s="141">
        <f t="shared" si="62"/>
        <v>12</v>
      </c>
    </row>
    <row r="468" spans="2:9" x14ac:dyDescent="0.25">
      <c r="B468" s="79" t="s">
        <v>54</v>
      </c>
      <c r="C468" s="142">
        <v>0</v>
      </c>
      <c r="D468" s="143">
        <v>9</v>
      </c>
      <c r="E468" s="144">
        <f t="shared" si="60"/>
        <v>9</v>
      </c>
      <c r="F468" s="145">
        <v>6</v>
      </c>
      <c r="G468" s="140">
        <f t="shared" si="61"/>
        <v>6</v>
      </c>
      <c r="H468" s="145">
        <v>12</v>
      </c>
      <c r="I468" s="141">
        <f t="shared" si="62"/>
        <v>12</v>
      </c>
    </row>
    <row r="469" spans="2:9" x14ac:dyDescent="0.25">
      <c r="B469" s="79" t="s">
        <v>53</v>
      </c>
      <c r="C469" s="142">
        <v>0</v>
      </c>
      <c r="D469" s="143">
        <v>8</v>
      </c>
      <c r="E469" s="144">
        <f t="shared" si="60"/>
        <v>8</v>
      </c>
      <c r="F469" s="145">
        <v>7</v>
      </c>
      <c r="G469" s="140">
        <f t="shared" si="61"/>
        <v>7</v>
      </c>
      <c r="H469" s="145">
        <v>11</v>
      </c>
      <c r="I469" s="141">
        <f t="shared" si="62"/>
        <v>11</v>
      </c>
    </row>
    <row r="470" spans="2:9" x14ac:dyDescent="0.25">
      <c r="B470" s="79" t="s">
        <v>52</v>
      </c>
      <c r="C470" s="142">
        <v>0</v>
      </c>
      <c r="D470" s="143">
        <v>10</v>
      </c>
      <c r="E470" s="144">
        <f t="shared" si="60"/>
        <v>10</v>
      </c>
      <c r="F470" s="145">
        <v>6</v>
      </c>
      <c r="G470" s="140">
        <f t="shared" si="61"/>
        <v>6</v>
      </c>
      <c r="H470" s="145">
        <v>9</v>
      </c>
      <c r="I470" s="141">
        <f t="shared" si="62"/>
        <v>9</v>
      </c>
    </row>
    <row r="471" spans="2:9" x14ac:dyDescent="0.25">
      <c r="B471" s="79" t="s">
        <v>94</v>
      </c>
      <c r="C471" s="142">
        <v>0</v>
      </c>
      <c r="D471" s="143">
        <v>10</v>
      </c>
      <c r="E471" s="144">
        <f t="shared" si="60"/>
        <v>10</v>
      </c>
      <c r="F471" s="145">
        <v>7</v>
      </c>
      <c r="G471" s="140">
        <f t="shared" si="61"/>
        <v>7</v>
      </c>
      <c r="H471" s="145">
        <v>7</v>
      </c>
      <c r="I471" s="141">
        <f t="shared" si="62"/>
        <v>7</v>
      </c>
    </row>
    <row r="472" spans="2:9" x14ac:dyDescent="0.25">
      <c r="B472" s="79" t="s">
        <v>51</v>
      </c>
      <c r="C472" s="142">
        <v>0</v>
      </c>
      <c r="D472" s="143">
        <v>14</v>
      </c>
      <c r="E472" s="144">
        <f t="shared" si="60"/>
        <v>14</v>
      </c>
      <c r="F472" s="145">
        <v>4</v>
      </c>
      <c r="G472" s="140">
        <f t="shared" si="61"/>
        <v>4</v>
      </c>
      <c r="H472" s="145">
        <v>7</v>
      </c>
      <c r="I472" s="141">
        <f t="shared" si="62"/>
        <v>7</v>
      </c>
    </row>
    <row r="473" spans="2:9" x14ac:dyDescent="0.25">
      <c r="B473" s="79" t="s">
        <v>50</v>
      </c>
      <c r="C473" s="142">
        <v>0</v>
      </c>
      <c r="D473" s="143">
        <v>24</v>
      </c>
      <c r="E473" s="144">
        <f t="shared" si="60"/>
        <v>24</v>
      </c>
      <c r="F473" s="145">
        <v>1</v>
      </c>
      <c r="G473" s="140">
        <f t="shared" si="61"/>
        <v>1</v>
      </c>
      <c r="H473" s="145">
        <v>4</v>
      </c>
      <c r="I473" s="141">
        <f t="shared" si="62"/>
        <v>4</v>
      </c>
    </row>
    <row r="474" spans="2:9" x14ac:dyDescent="0.25">
      <c r="B474" s="79" t="s">
        <v>49</v>
      </c>
      <c r="C474" s="142">
        <v>0</v>
      </c>
      <c r="D474" s="143">
        <v>5</v>
      </c>
      <c r="E474" s="144">
        <f t="shared" si="60"/>
        <v>5</v>
      </c>
      <c r="F474" s="145">
        <v>5</v>
      </c>
      <c r="G474" s="140">
        <f t="shared" si="61"/>
        <v>5</v>
      </c>
      <c r="H474" s="145">
        <v>2</v>
      </c>
      <c r="I474" s="141">
        <f t="shared" si="62"/>
        <v>2</v>
      </c>
    </row>
    <row r="475" spans="2:9" x14ac:dyDescent="0.25">
      <c r="B475" s="79" t="s">
        <v>48</v>
      </c>
      <c r="C475" s="142">
        <v>0</v>
      </c>
      <c r="D475" s="143">
        <v>5</v>
      </c>
      <c r="E475" s="144">
        <f t="shared" si="60"/>
        <v>5</v>
      </c>
      <c r="F475" s="145">
        <v>4</v>
      </c>
      <c r="G475" s="140">
        <f t="shared" si="61"/>
        <v>4</v>
      </c>
      <c r="H475" s="145">
        <v>2</v>
      </c>
      <c r="I475" s="141">
        <f t="shared" si="62"/>
        <v>2</v>
      </c>
    </row>
    <row r="476" spans="2:9" x14ac:dyDescent="0.25">
      <c r="B476" s="79" t="s">
        <v>47</v>
      </c>
      <c r="C476" s="142">
        <v>0</v>
      </c>
      <c r="D476" s="143">
        <v>4</v>
      </c>
      <c r="E476" s="144">
        <f t="shared" si="60"/>
        <v>4</v>
      </c>
      <c r="F476" s="145">
        <v>2</v>
      </c>
      <c r="G476" s="140">
        <f t="shared" si="61"/>
        <v>2</v>
      </c>
      <c r="H476" s="145">
        <v>2</v>
      </c>
      <c r="I476" s="141">
        <f t="shared" si="62"/>
        <v>2</v>
      </c>
    </row>
    <row r="477" spans="2:9" x14ac:dyDescent="0.25">
      <c r="B477" s="79" t="s">
        <v>46</v>
      </c>
      <c r="C477" s="142">
        <v>0</v>
      </c>
      <c r="D477" s="143">
        <v>8</v>
      </c>
      <c r="E477" s="144">
        <f t="shared" si="60"/>
        <v>8</v>
      </c>
      <c r="F477" s="145">
        <v>9</v>
      </c>
      <c r="G477" s="140">
        <f t="shared" si="61"/>
        <v>9</v>
      </c>
      <c r="H477" s="145">
        <v>1</v>
      </c>
      <c r="I477" s="141">
        <f t="shared" si="62"/>
        <v>1</v>
      </c>
    </row>
    <row r="478" spans="2:9" x14ac:dyDescent="0.25">
      <c r="B478" s="79" t="s">
        <v>45</v>
      </c>
      <c r="C478" s="142">
        <v>0</v>
      </c>
      <c r="D478" s="143">
        <v>4</v>
      </c>
      <c r="E478" s="144">
        <f t="shared" si="60"/>
        <v>4</v>
      </c>
      <c r="F478" s="145">
        <v>4</v>
      </c>
      <c r="G478" s="140">
        <f t="shared" si="61"/>
        <v>4</v>
      </c>
      <c r="H478" s="145">
        <v>1</v>
      </c>
      <c r="I478" s="141">
        <f t="shared" si="62"/>
        <v>1</v>
      </c>
    </row>
    <row r="479" spans="2:9" x14ac:dyDescent="0.25">
      <c r="B479" s="79" t="s">
        <v>44</v>
      </c>
      <c r="C479" s="142">
        <v>0</v>
      </c>
      <c r="D479" s="143">
        <v>24</v>
      </c>
      <c r="E479" s="144">
        <f t="shared" si="60"/>
        <v>24</v>
      </c>
      <c r="F479" s="145">
        <v>1</v>
      </c>
      <c r="G479" s="140">
        <f t="shared" si="61"/>
        <v>1</v>
      </c>
      <c r="H479" s="145">
        <v>1</v>
      </c>
      <c r="I479" s="141">
        <f t="shared" si="62"/>
        <v>1</v>
      </c>
    </row>
    <row r="480" spans="2:9" x14ac:dyDescent="0.25">
      <c r="B480" s="79" t="s">
        <v>43</v>
      </c>
      <c r="C480" s="142">
        <v>0</v>
      </c>
      <c r="D480" s="143">
        <v>0</v>
      </c>
      <c r="E480" s="144">
        <f t="shared" si="60"/>
        <v>0</v>
      </c>
      <c r="F480" s="145">
        <v>1</v>
      </c>
      <c r="G480" s="140">
        <f t="shared" si="61"/>
        <v>1</v>
      </c>
      <c r="H480" s="145">
        <v>0</v>
      </c>
      <c r="I480" s="141">
        <f t="shared" si="62"/>
        <v>0</v>
      </c>
    </row>
    <row r="481" spans="2:9" ht="15.75" thickBot="1" x14ac:dyDescent="0.3">
      <c r="B481" s="80" t="s">
        <v>42</v>
      </c>
      <c r="C481" s="146">
        <v>0</v>
      </c>
      <c r="D481" s="147">
        <v>1</v>
      </c>
      <c r="E481" s="148">
        <f t="shared" si="60"/>
        <v>1</v>
      </c>
      <c r="F481" s="149">
        <v>0</v>
      </c>
      <c r="G481" s="140">
        <f t="shared" si="61"/>
        <v>0</v>
      </c>
      <c r="H481" s="149">
        <v>0</v>
      </c>
      <c r="I481" s="141">
        <f t="shared" si="62"/>
        <v>0</v>
      </c>
    </row>
    <row r="482" spans="2:9" ht="15.75" thickBot="1" x14ac:dyDescent="0.3">
      <c r="B482" s="81" t="s">
        <v>3</v>
      </c>
      <c r="C482" s="74">
        <v>0</v>
      </c>
      <c r="D482" s="75">
        <f t="shared" ref="D482:E482" si="63">SUM(D462:D481)</f>
        <v>322</v>
      </c>
      <c r="E482" s="76">
        <f t="shared" si="63"/>
        <v>322</v>
      </c>
      <c r="F482" s="82">
        <f>SUM(F462:F481)</f>
        <v>192</v>
      </c>
      <c r="G482" s="82">
        <f>SUM(G462:G481)</f>
        <v>192</v>
      </c>
      <c r="H482" s="16">
        <f>SUM(H462:H481)</f>
        <v>191</v>
      </c>
      <c r="I482" s="16">
        <f>SUM(I462:I481)</f>
        <v>191</v>
      </c>
    </row>
    <row r="483" spans="2:9" ht="15.75" thickTop="1" x14ac:dyDescent="0.25"/>
    <row r="484" spans="2:9" ht="15.75" thickBot="1" x14ac:dyDescent="0.3"/>
    <row r="485" spans="2:9" ht="16.5" thickTop="1" thickBot="1" x14ac:dyDescent="0.3">
      <c r="B485" s="85"/>
      <c r="C485" s="73" t="s">
        <v>121</v>
      </c>
      <c r="D485" s="73"/>
      <c r="E485" s="73"/>
      <c r="F485" s="194" t="s">
        <v>114</v>
      </c>
      <c r="G485" s="195"/>
      <c r="H485" s="196" t="s">
        <v>119</v>
      </c>
      <c r="I485" s="197"/>
    </row>
    <row r="486" spans="2:9" ht="15.75" thickBot="1" x14ac:dyDescent="0.3">
      <c r="B486" s="48" t="s">
        <v>0</v>
      </c>
      <c r="C486" s="74">
        <v>2021</v>
      </c>
      <c r="D486" s="75">
        <v>2022</v>
      </c>
      <c r="E486" s="76" t="s">
        <v>149</v>
      </c>
      <c r="F486" s="58" t="s">
        <v>67</v>
      </c>
      <c r="G486" s="59" t="s">
        <v>150</v>
      </c>
      <c r="H486" s="1" t="s">
        <v>67</v>
      </c>
      <c r="I486" s="2" t="s">
        <v>151</v>
      </c>
    </row>
    <row r="487" spans="2:9" x14ac:dyDescent="0.25">
      <c r="B487" s="77" t="s">
        <v>59</v>
      </c>
      <c r="C487" s="136">
        <v>0</v>
      </c>
      <c r="D487" s="137">
        <v>50</v>
      </c>
      <c r="E487" s="138">
        <v>36</v>
      </c>
      <c r="F487" s="139">
        <v>22</v>
      </c>
      <c r="G487" s="140">
        <f t="shared" ref="G487:G506" si="64">F487</f>
        <v>22</v>
      </c>
      <c r="H487" s="139">
        <v>11</v>
      </c>
      <c r="I487" s="141">
        <f t="shared" ref="I487:I506" si="65">H487</f>
        <v>11</v>
      </c>
    </row>
    <row r="488" spans="2:9" x14ac:dyDescent="0.25">
      <c r="B488" s="78" t="s">
        <v>93</v>
      </c>
      <c r="C488" s="142">
        <v>0</v>
      </c>
      <c r="D488" s="143">
        <v>46</v>
      </c>
      <c r="E488" s="144">
        <v>25</v>
      </c>
      <c r="F488" s="145">
        <v>27</v>
      </c>
      <c r="G488" s="140">
        <f t="shared" si="64"/>
        <v>27</v>
      </c>
      <c r="H488" s="145">
        <v>26</v>
      </c>
      <c r="I488" s="141">
        <f t="shared" si="65"/>
        <v>26</v>
      </c>
    </row>
    <row r="489" spans="2:9" x14ac:dyDescent="0.25">
      <c r="B489" s="79" t="s">
        <v>58</v>
      </c>
      <c r="C489" s="142">
        <v>0</v>
      </c>
      <c r="D489" s="143">
        <v>8</v>
      </c>
      <c r="E489" s="144">
        <v>16</v>
      </c>
      <c r="F489" s="145">
        <v>9</v>
      </c>
      <c r="G489" s="140">
        <f t="shared" si="64"/>
        <v>9</v>
      </c>
      <c r="H489" s="145">
        <v>8</v>
      </c>
      <c r="I489" s="141">
        <f t="shared" si="65"/>
        <v>8</v>
      </c>
    </row>
    <row r="490" spans="2:9" x14ac:dyDescent="0.25">
      <c r="B490" s="78" t="s">
        <v>57</v>
      </c>
      <c r="C490" s="142">
        <v>0</v>
      </c>
      <c r="D490" s="143">
        <v>5</v>
      </c>
      <c r="E490" s="144">
        <v>16</v>
      </c>
      <c r="F490" s="145">
        <v>16</v>
      </c>
      <c r="G490" s="140">
        <f t="shared" si="64"/>
        <v>16</v>
      </c>
      <c r="H490" s="145">
        <v>17</v>
      </c>
      <c r="I490" s="141">
        <f t="shared" si="65"/>
        <v>17</v>
      </c>
    </row>
    <row r="491" spans="2:9" x14ac:dyDescent="0.25">
      <c r="B491" s="79" t="s">
        <v>56</v>
      </c>
      <c r="C491" s="142">
        <v>0</v>
      </c>
      <c r="D491" s="143">
        <v>25</v>
      </c>
      <c r="E491" s="144">
        <v>14</v>
      </c>
      <c r="F491" s="145">
        <v>9</v>
      </c>
      <c r="G491" s="140">
        <f t="shared" si="64"/>
        <v>9</v>
      </c>
      <c r="H491" s="145">
        <v>13</v>
      </c>
      <c r="I491" s="141">
        <f t="shared" si="65"/>
        <v>13</v>
      </c>
    </row>
    <row r="492" spans="2:9" x14ac:dyDescent="0.25">
      <c r="B492" s="79" t="s">
        <v>55</v>
      </c>
      <c r="C492" s="142">
        <v>0</v>
      </c>
      <c r="D492" s="143">
        <v>62</v>
      </c>
      <c r="E492" s="144">
        <v>12</v>
      </c>
      <c r="F492" s="145">
        <v>13</v>
      </c>
      <c r="G492" s="140">
        <f t="shared" si="64"/>
        <v>13</v>
      </c>
      <c r="H492" s="145">
        <v>9</v>
      </c>
      <c r="I492" s="141">
        <f t="shared" si="65"/>
        <v>9</v>
      </c>
    </row>
    <row r="493" spans="2:9" x14ac:dyDescent="0.25">
      <c r="B493" s="79" t="s">
        <v>54</v>
      </c>
      <c r="C493" s="142">
        <v>0</v>
      </c>
      <c r="D493" s="143">
        <v>9</v>
      </c>
      <c r="E493" s="144">
        <v>8</v>
      </c>
      <c r="F493" s="145">
        <v>5</v>
      </c>
      <c r="G493" s="140">
        <f t="shared" si="64"/>
        <v>5</v>
      </c>
      <c r="H493" s="145">
        <v>2</v>
      </c>
      <c r="I493" s="141">
        <f t="shared" si="65"/>
        <v>2</v>
      </c>
    </row>
    <row r="494" spans="2:9" x14ac:dyDescent="0.25">
      <c r="B494" s="79" t="s">
        <v>53</v>
      </c>
      <c r="C494" s="142">
        <v>0</v>
      </c>
      <c r="D494" s="143">
        <v>8</v>
      </c>
      <c r="E494" s="144">
        <v>11</v>
      </c>
      <c r="F494" s="145">
        <v>11</v>
      </c>
      <c r="G494" s="140">
        <f t="shared" si="64"/>
        <v>11</v>
      </c>
      <c r="H494" s="145">
        <v>18</v>
      </c>
      <c r="I494" s="141">
        <f t="shared" si="65"/>
        <v>18</v>
      </c>
    </row>
    <row r="495" spans="2:9" x14ac:dyDescent="0.25">
      <c r="B495" s="79" t="s">
        <v>52</v>
      </c>
      <c r="C495" s="142">
        <v>0</v>
      </c>
      <c r="D495" s="143">
        <v>10</v>
      </c>
      <c r="E495" s="144">
        <v>5</v>
      </c>
      <c r="F495" s="145">
        <v>1</v>
      </c>
      <c r="G495" s="140">
        <f t="shared" si="64"/>
        <v>1</v>
      </c>
      <c r="H495" s="145">
        <v>2</v>
      </c>
      <c r="I495" s="141">
        <f t="shared" si="65"/>
        <v>2</v>
      </c>
    </row>
    <row r="496" spans="2:9" x14ac:dyDescent="0.25">
      <c r="B496" s="79" t="s">
        <v>94</v>
      </c>
      <c r="C496" s="142">
        <v>0</v>
      </c>
      <c r="D496" s="143">
        <v>10</v>
      </c>
      <c r="E496" s="144">
        <v>5</v>
      </c>
      <c r="F496" s="145">
        <v>8</v>
      </c>
      <c r="G496" s="140">
        <f t="shared" si="64"/>
        <v>8</v>
      </c>
      <c r="H496" s="145">
        <v>8</v>
      </c>
      <c r="I496" s="141">
        <f t="shared" si="65"/>
        <v>8</v>
      </c>
    </row>
    <row r="497" spans="2:9" x14ac:dyDescent="0.25">
      <c r="B497" s="79" t="s">
        <v>51</v>
      </c>
      <c r="C497" s="142">
        <v>0</v>
      </c>
      <c r="D497" s="143">
        <v>14</v>
      </c>
      <c r="E497" s="144">
        <v>9</v>
      </c>
      <c r="F497" s="145">
        <v>13</v>
      </c>
      <c r="G497" s="140">
        <f t="shared" si="64"/>
        <v>13</v>
      </c>
      <c r="H497" s="145">
        <v>18</v>
      </c>
      <c r="I497" s="141">
        <f t="shared" si="65"/>
        <v>18</v>
      </c>
    </row>
    <row r="498" spans="2:9" x14ac:dyDescent="0.25">
      <c r="B498" s="79" t="s">
        <v>50</v>
      </c>
      <c r="C498" s="142">
        <v>0</v>
      </c>
      <c r="D498" s="143">
        <v>24</v>
      </c>
      <c r="E498" s="144">
        <v>4</v>
      </c>
      <c r="F498" s="145">
        <v>4</v>
      </c>
      <c r="G498" s="140">
        <f t="shared" si="64"/>
        <v>4</v>
      </c>
      <c r="H498" s="145">
        <v>3</v>
      </c>
      <c r="I498" s="141">
        <f t="shared" si="65"/>
        <v>3</v>
      </c>
    </row>
    <row r="499" spans="2:9" x14ac:dyDescent="0.25">
      <c r="B499" s="79" t="s">
        <v>49</v>
      </c>
      <c r="C499" s="142">
        <v>0</v>
      </c>
      <c r="D499" s="143">
        <v>5</v>
      </c>
      <c r="E499" s="144">
        <v>1</v>
      </c>
      <c r="F499" s="145">
        <v>4</v>
      </c>
      <c r="G499" s="140">
        <f t="shared" si="64"/>
        <v>4</v>
      </c>
      <c r="H499" s="145">
        <v>9</v>
      </c>
      <c r="I499" s="141">
        <f t="shared" si="65"/>
        <v>9</v>
      </c>
    </row>
    <row r="500" spans="2:9" x14ac:dyDescent="0.25">
      <c r="B500" s="79" t="s">
        <v>48</v>
      </c>
      <c r="C500" s="142">
        <v>0</v>
      </c>
      <c r="D500" s="143">
        <v>5</v>
      </c>
      <c r="E500" s="144">
        <v>2</v>
      </c>
      <c r="F500" s="145">
        <v>1</v>
      </c>
      <c r="G500" s="140">
        <f t="shared" si="64"/>
        <v>1</v>
      </c>
      <c r="H500" s="145">
        <v>2</v>
      </c>
      <c r="I500" s="141">
        <f t="shared" si="65"/>
        <v>2</v>
      </c>
    </row>
    <row r="501" spans="2:9" x14ac:dyDescent="0.25">
      <c r="B501" s="79" t="s">
        <v>47</v>
      </c>
      <c r="C501" s="142">
        <v>0</v>
      </c>
      <c r="D501" s="143">
        <v>4</v>
      </c>
      <c r="E501" s="144">
        <v>7</v>
      </c>
      <c r="F501" s="145">
        <v>8</v>
      </c>
      <c r="G501" s="140">
        <f t="shared" si="64"/>
        <v>8</v>
      </c>
      <c r="H501" s="145">
        <v>4</v>
      </c>
      <c r="I501" s="141">
        <f t="shared" si="65"/>
        <v>4</v>
      </c>
    </row>
    <row r="502" spans="2:9" x14ac:dyDescent="0.25">
      <c r="B502" s="79" t="s">
        <v>46</v>
      </c>
      <c r="C502" s="142">
        <v>0</v>
      </c>
      <c r="D502" s="143">
        <v>8</v>
      </c>
      <c r="E502" s="144">
        <v>2</v>
      </c>
      <c r="F502" s="145">
        <v>10</v>
      </c>
      <c r="G502" s="140">
        <f t="shared" si="64"/>
        <v>10</v>
      </c>
      <c r="H502" s="145">
        <v>16</v>
      </c>
      <c r="I502" s="141">
        <f t="shared" si="65"/>
        <v>16</v>
      </c>
    </row>
    <row r="503" spans="2:9" x14ac:dyDescent="0.25">
      <c r="B503" s="79" t="s">
        <v>45</v>
      </c>
      <c r="C503" s="142">
        <v>0</v>
      </c>
      <c r="D503" s="143">
        <v>4</v>
      </c>
      <c r="E503" s="144">
        <v>3</v>
      </c>
      <c r="F503" s="145">
        <v>4</v>
      </c>
      <c r="G503" s="140">
        <f t="shared" si="64"/>
        <v>4</v>
      </c>
      <c r="H503" s="145">
        <v>2</v>
      </c>
      <c r="I503" s="141">
        <f t="shared" si="65"/>
        <v>2</v>
      </c>
    </row>
    <row r="504" spans="2:9" x14ac:dyDescent="0.25">
      <c r="B504" s="79" t="s">
        <v>44</v>
      </c>
      <c r="C504" s="142">
        <v>0</v>
      </c>
      <c r="D504" s="143">
        <v>24</v>
      </c>
      <c r="E504" s="144">
        <v>0</v>
      </c>
      <c r="F504" s="145">
        <v>0</v>
      </c>
      <c r="G504" s="140">
        <f t="shared" si="64"/>
        <v>0</v>
      </c>
      <c r="H504" s="145">
        <v>0</v>
      </c>
      <c r="I504" s="141">
        <f t="shared" si="65"/>
        <v>0</v>
      </c>
    </row>
    <row r="505" spans="2:9" x14ac:dyDescent="0.25">
      <c r="B505" s="79" t="s">
        <v>43</v>
      </c>
      <c r="C505" s="142">
        <v>0</v>
      </c>
      <c r="D505" s="143">
        <v>0</v>
      </c>
      <c r="E505" s="144">
        <v>2</v>
      </c>
      <c r="F505" s="145">
        <v>3</v>
      </c>
      <c r="G505" s="140">
        <f t="shared" si="64"/>
        <v>3</v>
      </c>
      <c r="H505" s="145">
        <v>5</v>
      </c>
      <c r="I505" s="141">
        <f t="shared" si="65"/>
        <v>5</v>
      </c>
    </row>
    <row r="506" spans="2:9" ht="15.75" thickBot="1" x14ac:dyDescent="0.3">
      <c r="B506" s="80" t="s">
        <v>42</v>
      </c>
      <c r="C506" s="146">
        <v>0</v>
      </c>
      <c r="D506" s="147">
        <v>1</v>
      </c>
      <c r="E506" s="148">
        <v>0</v>
      </c>
      <c r="F506" s="149">
        <v>1</v>
      </c>
      <c r="G506" s="140">
        <f t="shared" si="64"/>
        <v>1</v>
      </c>
      <c r="H506" s="149">
        <v>2</v>
      </c>
      <c r="I506" s="141">
        <f t="shared" si="65"/>
        <v>2</v>
      </c>
    </row>
    <row r="507" spans="2:9" ht="15.75" thickBot="1" x14ac:dyDescent="0.3">
      <c r="B507" s="81" t="s">
        <v>3</v>
      </c>
      <c r="C507" s="74">
        <v>0</v>
      </c>
      <c r="D507" s="75">
        <f t="shared" ref="D507:E507" si="66">SUM(D487:D506)</f>
        <v>322</v>
      </c>
      <c r="E507" s="76">
        <f t="shared" si="66"/>
        <v>178</v>
      </c>
      <c r="F507" s="82">
        <f>SUM(F487:F506)</f>
        <v>169</v>
      </c>
      <c r="G507" s="82">
        <f>SUM(G487:G506)</f>
        <v>169</v>
      </c>
      <c r="H507" s="16">
        <f>SUM(H487:H506)</f>
        <v>175</v>
      </c>
      <c r="I507" s="16">
        <f>SUM(I487:I506)</f>
        <v>175</v>
      </c>
    </row>
    <row r="508" spans="2:9" ht="15.75" thickTop="1" x14ac:dyDescent="0.25"/>
  </sheetData>
  <sortState xmlns:xlrd2="http://schemas.microsoft.com/office/spreadsheetml/2017/richdata2" ref="B463:I481">
    <sortCondition descending="1" ref="I462:I481"/>
  </sortState>
  <mergeCells count="55">
    <mergeCell ref="H332:I332"/>
    <mergeCell ref="F332:G332"/>
    <mergeCell ref="B332:B333"/>
    <mergeCell ref="B409:B410"/>
    <mergeCell ref="F409:G409"/>
    <mergeCell ref="H409:I409"/>
    <mergeCell ref="B358:B359"/>
    <mergeCell ref="F358:G358"/>
    <mergeCell ref="H358:I358"/>
    <mergeCell ref="B384:B385"/>
    <mergeCell ref="F384:G384"/>
    <mergeCell ref="H384:I384"/>
    <mergeCell ref="F154:G154"/>
    <mergeCell ref="H154:I154"/>
    <mergeCell ref="B281:B282"/>
    <mergeCell ref="F281:G281"/>
    <mergeCell ref="H281:I281"/>
    <mergeCell ref="B256:B257"/>
    <mergeCell ref="F256:G256"/>
    <mergeCell ref="H256:I256"/>
    <mergeCell ref="B231:B232"/>
    <mergeCell ref="F231:G231"/>
    <mergeCell ref="H231:I231"/>
    <mergeCell ref="F129:G129"/>
    <mergeCell ref="H129:I129"/>
    <mergeCell ref="B205:B206"/>
    <mergeCell ref="F205:G205"/>
    <mergeCell ref="B2:B3"/>
    <mergeCell ref="F2:G2"/>
    <mergeCell ref="H2:I2"/>
    <mergeCell ref="B28:B29"/>
    <mergeCell ref="F28:G28"/>
    <mergeCell ref="H28:I28"/>
    <mergeCell ref="B129:B130"/>
    <mergeCell ref="H205:I205"/>
    <mergeCell ref="B179:B180"/>
    <mergeCell ref="F179:G179"/>
    <mergeCell ref="H179:I179"/>
    <mergeCell ref="B154:B155"/>
    <mergeCell ref="B53:B54"/>
    <mergeCell ref="F53:G53"/>
    <mergeCell ref="H53:I53"/>
    <mergeCell ref="B104:B105"/>
    <mergeCell ref="F104:G104"/>
    <mergeCell ref="H104:I104"/>
    <mergeCell ref="B79:B80"/>
    <mergeCell ref="F79:G79"/>
    <mergeCell ref="H79:I79"/>
    <mergeCell ref="F485:G485"/>
    <mergeCell ref="H485:I485"/>
    <mergeCell ref="F460:G460"/>
    <mergeCell ref="H460:I460"/>
    <mergeCell ref="B435:B436"/>
    <mergeCell ref="F435:G435"/>
    <mergeCell ref="H435:I4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AA27-680A-4A1E-8979-A28AD1BC0AE6}">
  <dimension ref="B2:H427"/>
  <sheetViews>
    <sheetView topLeftCell="C396" workbookViewId="0">
      <selection activeCell="H405" sqref="H405"/>
    </sheetView>
  </sheetViews>
  <sheetFormatPr baseColWidth="10" defaultColWidth="11.42578125" defaultRowHeight="15" x14ac:dyDescent="0.25"/>
  <cols>
    <col min="2" max="2" width="71" bestFit="1" customWidth="1"/>
    <col min="3" max="3" width="15.85546875" customWidth="1"/>
    <col min="4" max="4" width="17.85546875" customWidth="1"/>
    <col min="5" max="5" width="27.28515625" customWidth="1"/>
    <col min="6" max="6" width="23.5703125" customWidth="1"/>
    <col min="7" max="7" width="22.85546875" customWidth="1"/>
    <col min="8" max="8" width="27.85546875" customWidth="1"/>
  </cols>
  <sheetData>
    <row r="2" spans="2:8" ht="15.75" thickBot="1" x14ac:dyDescent="0.3"/>
    <row r="3" spans="2:8" ht="15.75" thickBot="1" x14ac:dyDescent="0.3">
      <c r="B3" s="204" t="s">
        <v>60</v>
      </c>
      <c r="C3" s="202" t="s">
        <v>85</v>
      </c>
      <c r="D3" s="203"/>
      <c r="E3" s="194" t="s">
        <v>63</v>
      </c>
      <c r="F3" s="195"/>
      <c r="G3" s="196" t="s">
        <v>64</v>
      </c>
      <c r="H3" s="197"/>
    </row>
    <row r="4" spans="2:8" ht="15.75" thickBot="1" x14ac:dyDescent="0.3">
      <c r="B4" s="205"/>
      <c r="C4" s="74">
        <v>2022</v>
      </c>
      <c r="D4" s="76" t="s">
        <v>3</v>
      </c>
      <c r="E4" s="58">
        <v>2022</v>
      </c>
      <c r="F4" s="59" t="s">
        <v>3</v>
      </c>
      <c r="G4" s="1">
        <v>2022</v>
      </c>
      <c r="H4" s="2" t="s">
        <v>3</v>
      </c>
    </row>
    <row r="5" spans="2:8" x14ac:dyDescent="0.25">
      <c r="B5" s="22" t="s">
        <v>38</v>
      </c>
      <c r="C5" s="23">
        <v>1</v>
      </c>
      <c r="D5" s="24">
        <f>C5</f>
        <v>1</v>
      </c>
      <c r="E5" s="23">
        <v>0</v>
      </c>
      <c r="F5" s="24">
        <f>E5</f>
        <v>0</v>
      </c>
      <c r="G5" s="23">
        <v>0</v>
      </c>
      <c r="H5" s="24">
        <f>G5</f>
        <v>0</v>
      </c>
    </row>
    <row r="6" spans="2:8" x14ac:dyDescent="0.25">
      <c r="B6" s="25" t="s">
        <v>25</v>
      </c>
      <c r="C6" s="26">
        <v>1</v>
      </c>
      <c r="D6" s="24">
        <f t="shared" ref="D6:D13" si="0">C6</f>
        <v>1</v>
      </c>
      <c r="E6" s="26">
        <v>1</v>
      </c>
      <c r="F6" s="24">
        <f t="shared" ref="F6:F13" si="1">E6</f>
        <v>1</v>
      </c>
      <c r="G6" s="26">
        <v>2</v>
      </c>
      <c r="H6" s="24">
        <f t="shared" ref="H6:H13" si="2">G6</f>
        <v>2</v>
      </c>
    </row>
    <row r="7" spans="2:8" x14ac:dyDescent="0.25">
      <c r="B7" s="25" t="s">
        <v>27</v>
      </c>
      <c r="C7" s="26">
        <v>1</v>
      </c>
      <c r="D7" s="24">
        <f t="shared" si="0"/>
        <v>1</v>
      </c>
      <c r="E7" s="26">
        <v>0</v>
      </c>
      <c r="F7" s="24">
        <f t="shared" si="1"/>
        <v>0</v>
      </c>
      <c r="G7" s="26">
        <v>0</v>
      </c>
      <c r="H7" s="24">
        <f t="shared" si="2"/>
        <v>0</v>
      </c>
    </row>
    <row r="8" spans="2:8" x14ac:dyDescent="0.25">
      <c r="B8" s="25" t="s">
        <v>28</v>
      </c>
      <c r="C8" s="26">
        <v>0</v>
      </c>
      <c r="D8" s="24">
        <f t="shared" si="0"/>
        <v>0</v>
      </c>
      <c r="E8" s="26">
        <v>1</v>
      </c>
      <c r="F8" s="24">
        <f t="shared" si="1"/>
        <v>1</v>
      </c>
      <c r="G8" s="26">
        <v>1</v>
      </c>
      <c r="H8" s="24">
        <f t="shared" si="2"/>
        <v>1</v>
      </c>
    </row>
    <row r="9" spans="2:8" x14ac:dyDescent="0.25">
      <c r="B9" s="25" t="s">
        <v>86</v>
      </c>
      <c r="C9" s="26">
        <v>2</v>
      </c>
      <c r="D9" s="24">
        <f t="shared" si="0"/>
        <v>2</v>
      </c>
      <c r="E9" s="26">
        <v>0</v>
      </c>
      <c r="F9" s="24">
        <f t="shared" si="1"/>
        <v>0</v>
      </c>
      <c r="G9" s="26">
        <v>0</v>
      </c>
      <c r="H9" s="24">
        <f t="shared" si="2"/>
        <v>0</v>
      </c>
    </row>
    <row r="10" spans="2:8" x14ac:dyDescent="0.25">
      <c r="B10" s="25" t="s">
        <v>26</v>
      </c>
      <c r="C10" s="26">
        <v>3</v>
      </c>
      <c r="D10" s="24">
        <f t="shared" si="0"/>
        <v>3</v>
      </c>
      <c r="E10" s="26">
        <v>8</v>
      </c>
      <c r="F10" s="24">
        <f t="shared" si="1"/>
        <v>8</v>
      </c>
      <c r="G10" s="26">
        <v>5</v>
      </c>
      <c r="H10" s="24">
        <f t="shared" si="2"/>
        <v>5</v>
      </c>
    </row>
    <row r="11" spans="2:8" x14ac:dyDescent="0.25">
      <c r="B11" s="25" t="s">
        <v>145</v>
      </c>
      <c r="C11" s="26">
        <v>4</v>
      </c>
      <c r="D11" s="24">
        <f t="shared" si="0"/>
        <v>4</v>
      </c>
      <c r="E11" s="26">
        <v>2</v>
      </c>
      <c r="F11" s="24">
        <f t="shared" si="1"/>
        <v>2</v>
      </c>
      <c r="G11" s="26">
        <v>1</v>
      </c>
      <c r="H11" s="24">
        <f t="shared" si="2"/>
        <v>1</v>
      </c>
    </row>
    <row r="12" spans="2:8" x14ac:dyDescent="0.25">
      <c r="B12" s="25" t="s">
        <v>130</v>
      </c>
      <c r="C12" s="26">
        <v>5</v>
      </c>
      <c r="D12" s="24">
        <f t="shared" si="0"/>
        <v>5</v>
      </c>
      <c r="E12" s="26">
        <v>5</v>
      </c>
      <c r="F12" s="24">
        <f t="shared" si="1"/>
        <v>5</v>
      </c>
      <c r="G12" s="26">
        <v>5</v>
      </c>
      <c r="H12" s="24">
        <f t="shared" si="2"/>
        <v>5</v>
      </c>
    </row>
    <row r="13" spans="2:8" ht="15.75" thickBot="1" x14ac:dyDescent="0.3">
      <c r="B13" s="27" t="s">
        <v>129</v>
      </c>
      <c r="C13" s="28">
        <v>7</v>
      </c>
      <c r="D13" s="29">
        <f t="shared" si="0"/>
        <v>7</v>
      </c>
      <c r="E13" s="28">
        <v>8</v>
      </c>
      <c r="F13" s="29">
        <f t="shared" si="1"/>
        <v>8</v>
      </c>
      <c r="G13" s="28">
        <v>8</v>
      </c>
      <c r="H13" s="29">
        <f t="shared" si="2"/>
        <v>8</v>
      </c>
    </row>
    <row r="14" spans="2:8" ht="15.75" thickBot="1" x14ac:dyDescent="0.3">
      <c r="B14" s="17" t="s">
        <v>3</v>
      </c>
      <c r="C14" s="74">
        <f t="shared" ref="C14:H14" si="3">SUM(C5:C13)</f>
        <v>24</v>
      </c>
      <c r="D14" s="76">
        <f t="shared" si="3"/>
        <v>24</v>
      </c>
      <c r="E14" s="58">
        <f t="shared" si="3"/>
        <v>25</v>
      </c>
      <c r="F14" s="83">
        <f t="shared" si="3"/>
        <v>25</v>
      </c>
      <c r="G14" s="16">
        <f t="shared" si="3"/>
        <v>22</v>
      </c>
      <c r="H14" s="16">
        <f t="shared" si="3"/>
        <v>22</v>
      </c>
    </row>
    <row r="16" spans="2:8" ht="15.75" thickBot="1" x14ac:dyDescent="0.3"/>
    <row r="17" spans="2:8" ht="15.75" thickBot="1" x14ac:dyDescent="0.3">
      <c r="B17" s="204" t="s">
        <v>60</v>
      </c>
      <c r="C17" s="202" t="s">
        <v>85</v>
      </c>
      <c r="D17" s="203"/>
      <c r="E17" s="194" t="s">
        <v>64</v>
      </c>
      <c r="F17" s="195"/>
      <c r="G17" s="196" t="s">
        <v>65</v>
      </c>
      <c r="H17" s="197"/>
    </row>
    <row r="18" spans="2:8" ht="15.75" thickBot="1" x14ac:dyDescent="0.3">
      <c r="B18" s="205"/>
      <c r="C18" s="74">
        <v>2022</v>
      </c>
      <c r="D18" s="76" t="s">
        <v>3</v>
      </c>
      <c r="E18" s="58">
        <v>2022</v>
      </c>
      <c r="F18" s="59" t="s">
        <v>3</v>
      </c>
      <c r="G18" s="1">
        <v>2022</v>
      </c>
      <c r="H18" s="2" t="s">
        <v>3</v>
      </c>
    </row>
    <row r="19" spans="2:8" x14ac:dyDescent="0.25">
      <c r="B19" s="22" t="s">
        <v>26</v>
      </c>
      <c r="C19" s="23">
        <v>3</v>
      </c>
      <c r="D19" s="24">
        <f t="shared" ref="D19:D27" si="4">C19</f>
        <v>3</v>
      </c>
      <c r="E19" s="23">
        <v>5</v>
      </c>
      <c r="F19" s="24">
        <f t="shared" ref="F19:F27" si="5">E19</f>
        <v>5</v>
      </c>
      <c r="G19" s="23">
        <v>6</v>
      </c>
      <c r="H19" s="24">
        <f t="shared" ref="H19:H27" si="6">G19</f>
        <v>6</v>
      </c>
    </row>
    <row r="20" spans="2:8" x14ac:dyDescent="0.25">
      <c r="B20" s="25" t="s">
        <v>129</v>
      </c>
      <c r="C20" s="26">
        <v>7</v>
      </c>
      <c r="D20" s="24">
        <f t="shared" si="4"/>
        <v>7</v>
      </c>
      <c r="E20" s="26">
        <v>8</v>
      </c>
      <c r="F20" s="24">
        <f t="shared" si="5"/>
        <v>8</v>
      </c>
      <c r="G20" s="26">
        <v>5</v>
      </c>
      <c r="H20" s="24">
        <f t="shared" si="6"/>
        <v>5</v>
      </c>
    </row>
    <row r="21" spans="2:8" x14ac:dyDescent="0.25">
      <c r="B21" s="25" t="s">
        <v>130</v>
      </c>
      <c r="C21" s="26">
        <v>5</v>
      </c>
      <c r="D21" s="24">
        <f t="shared" si="4"/>
        <v>5</v>
      </c>
      <c r="E21" s="26">
        <v>5</v>
      </c>
      <c r="F21" s="24">
        <f t="shared" si="5"/>
        <v>5</v>
      </c>
      <c r="G21" s="26">
        <v>4</v>
      </c>
      <c r="H21" s="24">
        <f t="shared" si="6"/>
        <v>4</v>
      </c>
    </row>
    <row r="22" spans="2:8" x14ac:dyDescent="0.25">
      <c r="B22" s="25" t="s">
        <v>25</v>
      </c>
      <c r="C22" s="26">
        <v>1</v>
      </c>
      <c r="D22" s="24">
        <f t="shared" si="4"/>
        <v>1</v>
      </c>
      <c r="E22" s="26">
        <v>2</v>
      </c>
      <c r="F22" s="24">
        <f t="shared" si="5"/>
        <v>2</v>
      </c>
      <c r="G22" s="26">
        <v>3</v>
      </c>
      <c r="H22" s="24">
        <f t="shared" si="6"/>
        <v>3</v>
      </c>
    </row>
    <row r="23" spans="2:8" x14ac:dyDescent="0.25">
      <c r="B23" s="25" t="s">
        <v>27</v>
      </c>
      <c r="C23" s="26">
        <v>1</v>
      </c>
      <c r="D23" s="24">
        <f t="shared" si="4"/>
        <v>1</v>
      </c>
      <c r="E23" s="26">
        <v>0</v>
      </c>
      <c r="F23" s="24">
        <f t="shared" si="5"/>
        <v>0</v>
      </c>
      <c r="G23" s="26">
        <v>1</v>
      </c>
      <c r="H23" s="24">
        <f t="shared" si="6"/>
        <v>1</v>
      </c>
    </row>
    <row r="24" spans="2:8" x14ac:dyDescent="0.25">
      <c r="B24" s="25" t="s">
        <v>145</v>
      </c>
      <c r="C24" s="26">
        <v>4</v>
      </c>
      <c r="D24" s="24">
        <f t="shared" si="4"/>
        <v>4</v>
      </c>
      <c r="E24" s="26">
        <v>1</v>
      </c>
      <c r="F24" s="24">
        <f t="shared" si="5"/>
        <v>1</v>
      </c>
      <c r="G24" s="26">
        <v>1</v>
      </c>
      <c r="H24" s="24">
        <f t="shared" si="6"/>
        <v>1</v>
      </c>
    </row>
    <row r="25" spans="2:8" x14ac:dyDescent="0.25">
      <c r="B25" s="25" t="s">
        <v>38</v>
      </c>
      <c r="C25" s="26">
        <v>1</v>
      </c>
      <c r="D25" s="24">
        <f t="shared" si="4"/>
        <v>1</v>
      </c>
      <c r="E25" s="26">
        <v>0</v>
      </c>
      <c r="F25" s="24">
        <f t="shared" si="5"/>
        <v>0</v>
      </c>
      <c r="G25" s="26">
        <v>0</v>
      </c>
      <c r="H25" s="24">
        <f t="shared" si="6"/>
        <v>0</v>
      </c>
    </row>
    <row r="26" spans="2:8" x14ac:dyDescent="0.25">
      <c r="B26" s="25" t="s">
        <v>28</v>
      </c>
      <c r="C26" s="26">
        <v>0</v>
      </c>
      <c r="D26" s="24">
        <f t="shared" si="4"/>
        <v>0</v>
      </c>
      <c r="E26" s="26">
        <v>1</v>
      </c>
      <c r="F26" s="24">
        <f t="shared" si="5"/>
        <v>1</v>
      </c>
      <c r="G26" s="26">
        <v>0</v>
      </c>
      <c r="H26" s="24">
        <f t="shared" si="6"/>
        <v>0</v>
      </c>
    </row>
    <row r="27" spans="2:8" ht="15.75" thickBot="1" x14ac:dyDescent="0.3">
      <c r="B27" s="27" t="s">
        <v>86</v>
      </c>
      <c r="C27" s="28">
        <v>2</v>
      </c>
      <c r="D27" s="29">
        <f t="shared" si="4"/>
        <v>2</v>
      </c>
      <c r="E27" s="28">
        <v>0</v>
      </c>
      <c r="F27" s="29">
        <f t="shared" si="5"/>
        <v>0</v>
      </c>
      <c r="G27" s="28">
        <v>0</v>
      </c>
      <c r="H27" s="29">
        <f t="shared" si="6"/>
        <v>0</v>
      </c>
    </row>
    <row r="28" spans="2:8" ht="15.75" thickBot="1" x14ac:dyDescent="0.3">
      <c r="B28" s="17" t="s">
        <v>3</v>
      </c>
      <c r="C28" s="74">
        <f t="shared" ref="C28:H28" si="7">SUM(C19:C27)</f>
        <v>24</v>
      </c>
      <c r="D28" s="76">
        <f t="shared" si="7"/>
        <v>24</v>
      </c>
      <c r="E28" s="58">
        <f t="shared" si="7"/>
        <v>22</v>
      </c>
      <c r="F28" s="83">
        <f t="shared" si="7"/>
        <v>22</v>
      </c>
      <c r="G28" s="16">
        <f t="shared" si="7"/>
        <v>20</v>
      </c>
      <c r="H28" s="16">
        <f t="shared" si="7"/>
        <v>20</v>
      </c>
    </row>
    <row r="30" spans="2:8" ht="15.75" thickBot="1" x14ac:dyDescent="0.3"/>
    <row r="31" spans="2:8" ht="15.75" thickBot="1" x14ac:dyDescent="0.3">
      <c r="B31" s="204" t="s">
        <v>60</v>
      </c>
      <c r="C31" s="202" t="s">
        <v>85</v>
      </c>
      <c r="D31" s="203"/>
      <c r="E31" s="194" t="s">
        <v>65</v>
      </c>
      <c r="F31" s="195"/>
      <c r="G31" s="196" t="s">
        <v>66</v>
      </c>
      <c r="H31" s="197"/>
    </row>
    <row r="32" spans="2:8" ht="15.75" thickBot="1" x14ac:dyDescent="0.3">
      <c r="B32" s="205"/>
      <c r="C32" s="74">
        <v>2022</v>
      </c>
      <c r="D32" s="76" t="s">
        <v>3</v>
      </c>
      <c r="E32" s="58">
        <v>2022</v>
      </c>
      <c r="F32" s="59" t="s">
        <v>3</v>
      </c>
      <c r="G32" s="1">
        <v>2022</v>
      </c>
      <c r="H32" s="2" t="s">
        <v>3</v>
      </c>
    </row>
    <row r="33" spans="2:8" x14ac:dyDescent="0.25">
      <c r="B33" s="22" t="s">
        <v>26</v>
      </c>
      <c r="C33" s="23">
        <v>3</v>
      </c>
      <c r="D33" s="24">
        <f t="shared" ref="D33:D38" si="8">C33</f>
        <v>3</v>
      </c>
      <c r="E33" s="23">
        <v>6</v>
      </c>
      <c r="F33" s="24">
        <f t="shared" ref="F33:F43" si="9">E33</f>
        <v>6</v>
      </c>
      <c r="G33" s="23">
        <v>8</v>
      </c>
      <c r="H33" s="24">
        <f t="shared" ref="H33:H43" si="10">G33</f>
        <v>8</v>
      </c>
    </row>
    <row r="34" spans="2:8" x14ac:dyDescent="0.25">
      <c r="B34" s="25" t="s">
        <v>129</v>
      </c>
      <c r="C34" s="26">
        <v>7</v>
      </c>
      <c r="D34" s="24">
        <f t="shared" si="8"/>
        <v>7</v>
      </c>
      <c r="E34" s="26">
        <v>5</v>
      </c>
      <c r="F34" s="24">
        <f t="shared" si="9"/>
        <v>5</v>
      </c>
      <c r="G34" s="26">
        <v>5</v>
      </c>
      <c r="H34" s="24">
        <f t="shared" si="10"/>
        <v>5</v>
      </c>
    </row>
    <row r="35" spans="2:8" x14ac:dyDescent="0.25">
      <c r="B35" s="25" t="s">
        <v>25</v>
      </c>
      <c r="C35" s="26">
        <v>1</v>
      </c>
      <c r="D35" s="24">
        <f t="shared" si="8"/>
        <v>1</v>
      </c>
      <c r="E35" s="26">
        <v>3</v>
      </c>
      <c r="F35" s="24">
        <f t="shared" si="9"/>
        <v>3</v>
      </c>
      <c r="G35" s="26">
        <v>2</v>
      </c>
      <c r="H35" s="24">
        <f t="shared" si="10"/>
        <v>2</v>
      </c>
    </row>
    <row r="36" spans="2:8" x14ac:dyDescent="0.25">
      <c r="B36" s="25" t="s">
        <v>27</v>
      </c>
      <c r="C36" s="26">
        <v>1</v>
      </c>
      <c r="D36" s="24">
        <f t="shared" si="8"/>
        <v>1</v>
      </c>
      <c r="E36" s="26">
        <v>1</v>
      </c>
      <c r="F36" s="24">
        <f t="shared" si="9"/>
        <v>1</v>
      </c>
      <c r="G36" s="26">
        <v>2</v>
      </c>
      <c r="H36" s="24">
        <f t="shared" si="10"/>
        <v>2</v>
      </c>
    </row>
    <row r="37" spans="2:8" x14ac:dyDescent="0.25">
      <c r="B37" s="25" t="s">
        <v>29</v>
      </c>
      <c r="C37" s="26">
        <v>0</v>
      </c>
      <c r="D37" s="24">
        <f t="shared" si="8"/>
        <v>0</v>
      </c>
      <c r="E37" s="26">
        <v>0</v>
      </c>
      <c r="F37" s="24">
        <f t="shared" si="9"/>
        <v>0</v>
      </c>
      <c r="G37" s="26">
        <v>2</v>
      </c>
      <c r="H37" s="24">
        <f t="shared" si="10"/>
        <v>2</v>
      </c>
    </row>
    <row r="38" spans="2:8" x14ac:dyDescent="0.25">
      <c r="B38" s="25" t="s">
        <v>130</v>
      </c>
      <c r="C38" s="26">
        <v>5</v>
      </c>
      <c r="D38" s="24">
        <f t="shared" si="8"/>
        <v>5</v>
      </c>
      <c r="E38" s="26">
        <v>4</v>
      </c>
      <c r="F38" s="24">
        <f t="shared" si="9"/>
        <v>4</v>
      </c>
      <c r="G38" s="26">
        <v>1</v>
      </c>
      <c r="H38" s="24">
        <f t="shared" si="10"/>
        <v>1</v>
      </c>
    </row>
    <row r="39" spans="2:8" x14ac:dyDescent="0.25">
      <c r="B39" s="25" t="s">
        <v>35</v>
      </c>
      <c r="C39" s="26">
        <v>0</v>
      </c>
      <c r="D39" s="24">
        <v>0</v>
      </c>
      <c r="E39" s="26">
        <v>0</v>
      </c>
      <c r="F39" s="24">
        <f t="shared" si="9"/>
        <v>0</v>
      </c>
      <c r="G39" s="26">
        <v>1</v>
      </c>
      <c r="H39" s="24">
        <f t="shared" si="10"/>
        <v>1</v>
      </c>
    </row>
    <row r="40" spans="2:8" x14ac:dyDescent="0.25">
      <c r="B40" s="25" t="s">
        <v>145</v>
      </c>
      <c r="C40" s="26">
        <v>4</v>
      </c>
      <c r="D40" s="24">
        <f>C40</f>
        <v>4</v>
      </c>
      <c r="E40" s="26">
        <v>1</v>
      </c>
      <c r="F40" s="24">
        <f t="shared" si="9"/>
        <v>1</v>
      </c>
      <c r="G40" s="26">
        <v>1</v>
      </c>
      <c r="H40" s="24">
        <f t="shared" si="10"/>
        <v>1</v>
      </c>
    </row>
    <row r="41" spans="2:8" x14ac:dyDescent="0.25">
      <c r="B41" s="25" t="s">
        <v>28</v>
      </c>
      <c r="C41" s="26">
        <v>0</v>
      </c>
      <c r="D41" s="24">
        <f>C41</f>
        <v>0</v>
      </c>
      <c r="E41" s="26">
        <v>0</v>
      </c>
      <c r="F41" s="24">
        <f t="shared" si="9"/>
        <v>0</v>
      </c>
      <c r="G41" s="26">
        <v>1</v>
      </c>
      <c r="H41" s="24">
        <f t="shared" si="10"/>
        <v>1</v>
      </c>
    </row>
    <row r="42" spans="2:8" x14ac:dyDescent="0.25">
      <c r="B42" s="25" t="s">
        <v>38</v>
      </c>
      <c r="C42" s="26">
        <v>1</v>
      </c>
      <c r="D42" s="24">
        <f>C42</f>
        <v>1</v>
      </c>
      <c r="E42" s="26">
        <v>0</v>
      </c>
      <c r="F42" s="24">
        <f t="shared" si="9"/>
        <v>0</v>
      </c>
      <c r="G42" s="26">
        <v>0</v>
      </c>
      <c r="H42" s="24">
        <f t="shared" si="10"/>
        <v>0</v>
      </c>
    </row>
    <row r="43" spans="2:8" ht="15.75" thickBot="1" x14ac:dyDescent="0.3">
      <c r="B43" s="27" t="s">
        <v>86</v>
      </c>
      <c r="C43" s="28">
        <v>2</v>
      </c>
      <c r="D43" s="29">
        <f>C43</f>
        <v>2</v>
      </c>
      <c r="E43" s="28">
        <v>0</v>
      </c>
      <c r="F43" s="29">
        <f t="shared" si="9"/>
        <v>0</v>
      </c>
      <c r="G43" s="28">
        <v>0</v>
      </c>
      <c r="H43" s="29">
        <f t="shared" si="10"/>
        <v>0</v>
      </c>
    </row>
    <row r="44" spans="2:8" ht="15.75" thickBot="1" x14ac:dyDescent="0.3">
      <c r="B44" s="17" t="s">
        <v>3</v>
      </c>
      <c r="C44" s="74">
        <f t="shared" ref="C44:H44" si="11">SUM(C33:C43)</f>
        <v>24</v>
      </c>
      <c r="D44" s="76">
        <f t="shared" si="11"/>
        <v>24</v>
      </c>
      <c r="E44" s="58">
        <f t="shared" si="11"/>
        <v>20</v>
      </c>
      <c r="F44" s="83">
        <f t="shared" si="11"/>
        <v>20</v>
      </c>
      <c r="G44" s="16">
        <f t="shared" si="11"/>
        <v>23</v>
      </c>
      <c r="H44" s="16">
        <f t="shared" si="11"/>
        <v>23</v>
      </c>
    </row>
    <row r="46" spans="2:8" ht="15.75" thickBot="1" x14ac:dyDescent="0.3"/>
    <row r="47" spans="2:8" ht="15.75" thickBot="1" x14ac:dyDescent="0.3">
      <c r="B47" s="204" t="s">
        <v>60</v>
      </c>
      <c r="C47" s="202" t="s">
        <v>85</v>
      </c>
      <c r="D47" s="203"/>
      <c r="E47" s="194" t="s">
        <v>65</v>
      </c>
      <c r="F47" s="195"/>
      <c r="G47" s="196" t="s">
        <v>66</v>
      </c>
      <c r="H47" s="197"/>
    </row>
    <row r="48" spans="2:8" ht="15.75" thickBot="1" x14ac:dyDescent="0.3">
      <c r="B48" s="205"/>
      <c r="C48" s="74">
        <v>2022</v>
      </c>
      <c r="D48" s="76" t="s">
        <v>3</v>
      </c>
      <c r="E48" s="58">
        <v>2022</v>
      </c>
      <c r="F48" s="59" t="s">
        <v>3</v>
      </c>
      <c r="G48" s="1">
        <v>2022</v>
      </c>
      <c r="H48" s="2" t="s">
        <v>3</v>
      </c>
    </row>
    <row r="49" spans="2:8" x14ac:dyDescent="0.25">
      <c r="B49" s="22" t="s">
        <v>26</v>
      </c>
      <c r="C49" s="23">
        <v>3</v>
      </c>
      <c r="D49" s="24">
        <f t="shared" ref="D49:D54" si="12">C49</f>
        <v>3</v>
      </c>
      <c r="E49" s="23">
        <v>8</v>
      </c>
      <c r="F49" s="24">
        <f t="shared" ref="F49:F59" si="13">E49</f>
        <v>8</v>
      </c>
      <c r="G49" s="23">
        <v>5</v>
      </c>
      <c r="H49" s="24">
        <f t="shared" ref="H49:H59" si="14">G49</f>
        <v>5</v>
      </c>
    </row>
    <row r="50" spans="2:8" x14ac:dyDescent="0.25">
      <c r="B50" s="25" t="s">
        <v>129</v>
      </c>
      <c r="C50" s="26">
        <v>7</v>
      </c>
      <c r="D50" s="24">
        <f t="shared" si="12"/>
        <v>7</v>
      </c>
      <c r="E50" s="26">
        <v>5</v>
      </c>
      <c r="F50" s="24">
        <f t="shared" si="13"/>
        <v>5</v>
      </c>
      <c r="G50" s="26">
        <v>4</v>
      </c>
      <c r="H50" s="24">
        <f t="shared" si="14"/>
        <v>4</v>
      </c>
    </row>
    <row r="51" spans="2:8" x14ac:dyDescent="0.25">
      <c r="B51" s="25" t="s">
        <v>25</v>
      </c>
      <c r="C51" s="26">
        <v>1</v>
      </c>
      <c r="D51" s="24">
        <f t="shared" si="12"/>
        <v>1</v>
      </c>
      <c r="E51" s="26">
        <v>2</v>
      </c>
      <c r="F51" s="24">
        <f t="shared" si="13"/>
        <v>2</v>
      </c>
      <c r="G51" s="26">
        <v>3</v>
      </c>
      <c r="H51" s="24">
        <f t="shared" si="14"/>
        <v>3</v>
      </c>
    </row>
    <row r="52" spans="2:8" x14ac:dyDescent="0.25">
      <c r="B52" s="25" t="s">
        <v>130</v>
      </c>
      <c r="C52" s="26">
        <v>5</v>
      </c>
      <c r="D52" s="24">
        <f t="shared" si="12"/>
        <v>5</v>
      </c>
      <c r="E52" s="26">
        <v>1</v>
      </c>
      <c r="F52" s="24">
        <f t="shared" si="13"/>
        <v>1</v>
      </c>
      <c r="G52" s="26">
        <v>2</v>
      </c>
      <c r="H52" s="24">
        <f t="shared" si="14"/>
        <v>2</v>
      </c>
    </row>
    <row r="53" spans="2:8" x14ac:dyDescent="0.25">
      <c r="B53" s="25" t="s">
        <v>27</v>
      </c>
      <c r="C53" s="26">
        <v>1</v>
      </c>
      <c r="D53" s="24">
        <f t="shared" si="12"/>
        <v>1</v>
      </c>
      <c r="E53" s="26">
        <v>2</v>
      </c>
      <c r="F53" s="24">
        <f t="shared" si="13"/>
        <v>2</v>
      </c>
      <c r="G53" s="26">
        <v>0</v>
      </c>
      <c r="H53" s="24">
        <f t="shared" si="14"/>
        <v>0</v>
      </c>
    </row>
    <row r="54" spans="2:8" x14ac:dyDescent="0.25">
      <c r="B54" s="25" t="s">
        <v>29</v>
      </c>
      <c r="C54" s="26">
        <v>0</v>
      </c>
      <c r="D54" s="24">
        <f t="shared" si="12"/>
        <v>0</v>
      </c>
      <c r="E54" s="26">
        <v>2</v>
      </c>
      <c r="F54" s="24">
        <f t="shared" si="13"/>
        <v>2</v>
      </c>
      <c r="G54" s="26">
        <v>0</v>
      </c>
      <c r="H54" s="24">
        <f t="shared" si="14"/>
        <v>0</v>
      </c>
    </row>
    <row r="55" spans="2:8" x14ac:dyDescent="0.25">
      <c r="B55" s="25" t="s">
        <v>35</v>
      </c>
      <c r="C55" s="26">
        <v>0</v>
      </c>
      <c r="D55" s="24">
        <v>0</v>
      </c>
      <c r="E55" s="26">
        <v>1</v>
      </c>
      <c r="F55" s="24">
        <f t="shared" si="13"/>
        <v>1</v>
      </c>
      <c r="G55" s="26">
        <v>0</v>
      </c>
      <c r="H55" s="24">
        <f t="shared" si="14"/>
        <v>0</v>
      </c>
    </row>
    <row r="56" spans="2:8" x14ac:dyDescent="0.25">
      <c r="B56" s="25" t="s">
        <v>145</v>
      </c>
      <c r="C56" s="26">
        <v>4</v>
      </c>
      <c r="D56" s="24">
        <f>C56</f>
        <v>4</v>
      </c>
      <c r="E56" s="26">
        <v>1</v>
      </c>
      <c r="F56" s="24">
        <f t="shared" si="13"/>
        <v>1</v>
      </c>
      <c r="G56" s="26">
        <v>0</v>
      </c>
      <c r="H56" s="24">
        <f t="shared" si="14"/>
        <v>0</v>
      </c>
    </row>
    <row r="57" spans="2:8" x14ac:dyDescent="0.25">
      <c r="B57" s="25" t="s">
        <v>28</v>
      </c>
      <c r="C57" s="26">
        <v>0</v>
      </c>
      <c r="D57" s="24">
        <f>C57</f>
        <v>0</v>
      </c>
      <c r="E57" s="26">
        <v>1</v>
      </c>
      <c r="F57" s="24">
        <f t="shared" si="13"/>
        <v>1</v>
      </c>
      <c r="G57" s="26">
        <v>0</v>
      </c>
      <c r="H57" s="24">
        <f t="shared" si="14"/>
        <v>0</v>
      </c>
    </row>
    <row r="58" spans="2:8" x14ac:dyDescent="0.25">
      <c r="B58" s="25" t="s">
        <v>38</v>
      </c>
      <c r="C58" s="26">
        <v>1</v>
      </c>
      <c r="D58" s="24">
        <f>C58</f>
        <v>1</v>
      </c>
      <c r="E58" s="26">
        <v>0</v>
      </c>
      <c r="F58" s="24">
        <f t="shared" si="13"/>
        <v>0</v>
      </c>
      <c r="G58" s="26">
        <v>0</v>
      </c>
      <c r="H58" s="24">
        <f t="shared" si="14"/>
        <v>0</v>
      </c>
    </row>
    <row r="59" spans="2:8" ht="15.75" thickBot="1" x14ac:dyDescent="0.3">
      <c r="B59" s="27" t="s">
        <v>86</v>
      </c>
      <c r="C59" s="28">
        <v>2</v>
      </c>
      <c r="D59" s="29">
        <f>C59</f>
        <v>2</v>
      </c>
      <c r="E59" s="28">
        <v>0</v>
      </c>
      <c r="F59" s="29">
        <f t="shared" si="13"/>
        <v>0</v>
      </c>
      <c r="G59" s="28">
        <v>0</v>
      </c>
      <c r="H59" s="29">
        <f t="shared" si="14"/>
        <v>0</v>
      </c>
    </row>
    <row r="60" spans="2:8" ht="15.75" thickBot="1" x14ac:dyDescent="0.3">
      <c r="B60" s="17" t="s">
        <v>3</v>
      </c>
      <c r="C60" s="74">
        <f t="shared" ref="C60:H60" si="15">SUM(C49:C59)</f>
        <v>24</v>
      </c>
      <c r="D60" s="76">
        <f t="shared" si="15"/>
        <v>24</v>
      </c>
      <c r="E60" s="58">
        <f t="shared" si="15"/>
        <v>23</v>
      </c>
      <c r="F60" s="83">
        <f t="shared" si="15"/>
        <v>23</v>
      </c>
      <c r="G60" s="16">
        <f t="shared" si="15"/>
        <v>14</v>
      </c>
      <c r="H60" s="16">
        <f t="shared" si="15"/>
        <v>14</v>
      </c>
    </row>
    <row r="63" spans="2:8" ht="15.75" thickBot="1" x14ac:dyDescent="0.3"/>
    <row r="64" spans="2:8" ht="15.75" thickBot="1" x14ac:dyDescent="0.3">
      <c r="B64" s="204" t="s">
        <v>60</v>
      </c>
      <c r="C64" s="202" t="s">
        <v>85</v>
      </c>
      <c r="D64" s="203"/>
      <c r="E64" s="194" t="s">
        <v>69</v>
      </c>
      <c r="F64" s="195"/>
      <c r="G64" s="196" t="s">
        <v>70</v>
      </c>
      <c r="H64" s="197"/>
    </row>
    <row r="65" spans="2:8" ht="15.75" thickBot="1" x14ac:dyDescent="0.3">
      <c r="B65" s="205"/>
      <c r="C65" s="74">
        <v>2022</v>
      </c>
      <c r="D65" s="76" t="s">
        <v>3</v>
      </c>
      <c r="E65" s="58">
        <v>2022</v>
      </c>
      <c r="F65" s="59" t="s">
        <v>3</v>
      </c>
      <c r="G65" s="1">
        <v>2023</v>
      </c>
      <c r="H65" s="2" t="s">
        <v>3</v>
      </c>
    </row>
    <row r="66" spans="2:8" x14ac:dyDescent="0.25">
      <c r="B66" s="22" t="s">
        <v>129</v>
      </c>
      <c r="C66" s="23">
        <v>7</v>
      </c>
      <c r="D66" s="30">
        <f t="shared" ref="D66:D72" si="16">C66</f>
        <v>7</v>
      </c>
      <c r="E66" s="33">
        <v>4</v>
      </c>
      <c r="F66" s="34">
        <f t="shared" ref="F66:F72" si="17">E66</f>
        <v>4</v>
      </c>
      <c r="G66" s="33">
        <v>4</v>
      </c>
      <c r="H66" s="34">
        <f t="shared" ref="H66:H77" si="18">G66</f>
        <v>4</v>
      </c>
    </row>
    <row r="67" spans="2:8" x14ac:dyDescent="0.25">
      <c r="B67" s="25" t="s">
        <v>130</v>
      </c>
      <c r="C67" s="26">
        <v>5</v>
      </c>
      <c r="D67" s="30">
        <f t="shared" si="16"/>
        <v>5</v>
      </c>
      <c r="E67" s="26">
        <v>2</v>
      </c>
      <c r="F67" s="24">
        <f t="shared" si="17"/>
        <v>2</v>
      </c>
      <c r="G67" s="26">
        <v>4</v>
      </c>
      <c r="H67" s="24">
        <f t="shared" si="18"/>
        <v>4</v>
      </c>
    </row>
    <row r="68" spans="2:8" x14ac:dyDescent="0.25">
      <c r="B68" s="25" t="s">
        <v>26</v>
      </c>
      <c r="C68" s="26">
        <v>3</v>
      </c>
      <c r="D68" s="30">
        <f t="shared" si="16"/>
        <v>3</v>
      </c>
      <c r="E68" s="26">
        <v>5</v>
      </c>
      <c r="F68" s="24">
        <f t="shared" si="17"/>
        <v>5</v>
      </c>
      <c r="G68" s="26">
        <v>3</v>
      </c>
      <c r="H68" s="24">
        <f t="shared" si="18"/>
        <v>3</v>
      </c>
    </row>
    <row r="69" spans="2:8" x14ac:dyDescent="0.25">
      <c r="B69" s="25" t="s">
        <v>25</v>
      </c>
      <c r="C69" s="26">
        <v>1</v>
      </c>
      <c r="D69" s="30">
        <f t="shared" si="16"/>
        <v>1</v>
      </c>
      <c r="E69" s="26">
        <v>3</v>
      </c>
      <c r="F69" s="24">
        <f t="shared" si="17"/>
        <v>3</v>
      </c>
      <c r="G69" s="26">
        <v>3</v>
      </c>
      <c r="H69" s="24">
        <f t="shared" si="18"/>
        <v>3</v>
      </c>
    </row>
    <row r="70" spans="2:8" x14ac:dyDescent="0.25">
      <c r="B70" s="25" t="s">
        <v>27</v>
      </c>
      <c r="C70" s="26">
        <v>1</v>
      </c>
      <c r="D70" s="30">
        <f t="shared" si="16"/>
        <v>1</v>
      </c>
      <c r="E70" s="26">
        <v>0</v>
      </c>
      <c r="F70" s="24">
        <f t="shared" si="17"/>
        <v>0</v>
      </c>
      <c r="G70" s="26">
        <v>1</v>
      </c>
      <c r="H70" s="24">
        <f t="shared" si="18"/>
        <v>1</v>
      </c>
    </row>
    <row r="71" spans="2:8" x14ac:dyDescent="0.25">
      <c r="B71" s="25" t="s">
        <v>145</v>
      </c>
      <c r="C71" s="26">
        <v>4</v>
      </c>
      <c r="D71" s="30">
        <f t="shared" si="16"/>
        <v>4</v>
      </c>
      <c r="E71" s="26">
        <v>0</v>
      </c>
      <c r="F71" s="24">
        <f t="shared" si="17"/>
        <v>0</v>
      </c>
      <c r="G71" s="26">
        <v>1</v>
      </c>
      <c r="H71" s="24">
        <f t="shared" si="18"/>
        <v>1</v>
      </c>
    </row>
    <row r="72" spans="2:8" x14ac:dyDescent="0.25">
      <c r="B72" s="25" t="s">
        <v>28</v>
      </c>
      <c r="C72" s="26">
        <v>0</v>
      </c>
      <c r="D72" s="30">
        <f t="shared" si="16"/>
        <v>0</v>
      </c>
      <c r="E72" s="26">
        <v>0</v>
      </c>
      <c r="F72" s="24">
        <f t="shared" si="17"/>
        <v>0</v>
      </c>
      <c r="G72" s="26">
        <v>1</v>
      </c>
      <c r="H72" s="24">
        <f t="shared" si="18"/>
        <v>1</v>
      </c>
    </row>
    <row r="73" spans="2:8" x14ac:dyDescent="0.25">
      <c r="B73" s="25" t="s">
        <v>31</v>
      </c>
      <c r="C73" s="26">
        <v>0</v>
      </c>
      <c r="D73" s="30">
        <v>0</v>
      </c>
      <c r="E73" s="26">
        <v>0</v>
      </c>
      <c r="F73" s="24">
        <v>0</v>
      </c>
      <c r="G73" s="26">
        <v>1</v>
      </c>
      <c r="H73" s="24">
        <f t="shared" si="18"/>
        <v>1</v>
      </c>
    </row>
    <row r="74" spans="2:8" x14ac:dyDescent="0.25">
      <c r="B74" s="25" t="s">
        <v>29</v>
      </c>
      <c r="C74" s="26">
        <v>0</v>
      </c>
      <c r="D74" s="30">
        <f>C74</f>
        <v>0</v>
      </c>
      <c r="E74" s="26">
        <v>0</v>
      </c>
      <c r="F74" s="24">
        <f>E74</f>
        <v>0</v>
      </c>
      <c r="G74" s="26">
        <v>0</v>
      </c>
      <c r="H74" s="24">
        <f t="shared" si="18"/>
        <v>0</v>
      </c>
    </row>
    <row r="75" spans="2:8" x14ac:dyDescent="0.25">
      <c r="B75" s="25" t="s">
        <v>35</v>
      </c>
      <c r="C75" s="26">
        <v>0</v>
      </c>
      <c r="D75" s="30">
        <v>0</v>
      </c>
      <c r="E75" s="26">
        <v>0</v>
      </c>
      <c r="F75" s="24">
        <f>E75</f>
        <v>0</v>
      </c>
      <c r="G75" s="26">
        <v>0</v>
      </c>
      <c r="H75" s="24">
        <f t="shared" si="18"/>
        <v>0</v>
      </c>
    </row>
    <row r="76" spans="2:8" x14ac:dyDescent="0.25">
      <c r="B76" s="25" t="s">
        <v>38</v>
      </c>
      <c r="C76" s="28">
        <v>1</v>
      </c>
      <c r="D76" s="31">
        <f>C76</f>
        <v>1</v>
      </c>
      <c r="E76" s="26">
        <v>0</v>
      </c>
      <c r="F76" s="35">
        <f>E76</f>
        <v>0</v>
      </c>
      <c r="G76" s="26">
        <v>0</v>
      </c>
      <c r="H76" s="35">
        <f t="shared" si="18"/>
        <v>0</v>
      </c>
    </row>
    <row r="77" spans="2:8" ht="15.75" thickBot="1" x14ac:dyDescent="0.3">
      <c r="B77" s="27" t="s">
        <v>86</v>
      </c>
      <c r="C77" s="28">
        <v>2</v>
      </c>
      <c r="D77" s="32">
        <f>C77</f>
        <v>2</v>
      </c>
      <c r="E77" s="36">
        <v>0</v>
      </c>
      <c r="F77" s="37">
        <f>E77</f>
        <v>0</v>
      </c>
      <c r="G77" s="36">
        <v>0</v>
      </c>
      <c r="H77" s="37">
        <f t="shared" si="18"/>
        <v>0</v>
      </c>
    </row>
    <row r="78" spans="2:8" ht="15.75" thickBot="1" x14ac:dyDescent="0.3">
      <c r="B78" s="17" t="s">
        <v>3</v>
      </c>
      <c r="C78" s="74">
        <f t="shared" ref="C78:H78" si="19">SUM(C66:C77)</f>
        <v>24</v>
      </c>
      <c r="D78" s="76">
        <f t="shared" si="19"/>
        <v>24</v>
      </c>
      <c r="E78" s="58">
        <f t="shared" si="19"/>
        <v>14</v>
      </c>
      <c r="F78" s="83">
        <f t="shared" si="19"/>
        <v>14</v>
      </c>
      <c r="G78" s="16">
        <f t="shared" si="19"/>
        <v>18</v>
      </c>
      <c r="H78" s="16">
        <f t="shared" si="19"/>
        <v>18</v>
      </c>
    </row>
    <row r="81" spans="2:8" ht="15.75" thickBot="1" x14ac:dyDescent="0.3"/>
    <row r="82" spans="2:8" ht="15.75" thickBot="1" x14ac:dyDescent="0.3">
      <c r="B82" s="204" t="s">
        <v>60</v>
      </c>
      <c r="C82" s="202" t="s">
        <v>85</v>
      </c>
      <c r="D82" s="203"/>
      <c r="E82" s="194" t="s">
        <v>70</v>
      </c>
      <c r="F82" s="195"/>
      <c r="G82" s="196" t="s">
        <v>72</v>
      </c>
      <c r="H82" s="197"/>
    </row>
    <row r="83" spans="2:8" ht="15.75" thickBot="1" x14ac:dyDescent="0.3">
      <c r="B83" s="205"/>
      <c r="C83" s="74">
        <v>2022</v>
      </c>
      <c r="D83" s="76" t="s">
        <v>3</v>
      </c>
      <c r="E83" s="58">
        <v>2022</v>
      </c>
      <c r="F83" s="59" t="s">
        <v>3</v>
      </c>
      <c r="G83" s="1">
        <v>2023</v>
      </c>
      <c r="H83" s="2" t="s">
        <v>3</v>
      </c>
    </row>
    <row r="84" spans="2:8" x14ac:dyDescent="0.25">
      <c r="B84" s="22" t="s">
        <v>129</v>
      </c>
      <c r="C84" s="23">
        <v>7</v>
      </c>
      <c r="D84" s="30">
        <f t="shared" ref="D84:D90" si="20">C84</f>
        <v>7</v>
      </c>
      <c r="E84" s="33">
        <v>4</v>
      </c>
      <c r="F84" s="34">
        <f t="shared" ref="F84:F95" si="21">E84</f>
        <v>4</v>
      </c>
      <c r="G84" s="33">
        <v>4</v>
      </c>
      <c r="H84" s="34">
        <f t="shared" ref="H84:H95" si="22">G84</f>
        <v>4</v>
      </c>
    </row>
    <row r="85" spans="2:8" x14ac:dyDescent="0.25">
      <c r="B85" s="25" t="s">
        <v>26</v>
      </c>
      <c r="C85" s="26">
        <v>3</v>
      </c>
      <c r="D85" s="30">
        <f t="shared" si="20"/>
        <v>3</v>
      </c>
      <c r="E85" s="26">
        <v>3</v>
      </c>
      <c r="F85" s="24">
        <f t="shared" si="21"/>
        <v>3</v>
      </c>
      <c r="G85" s="26">
        <v>4</v>
      </c>
      <c r="H85" s="24">
        <f t="shared" si="22"/>
        <v>4</v>
      </c>
    </row>
    <row r="86" spans="2:8" x14ac:dyDescent="0.25">
      <c r="B86" s="25" t="s">
        <v>130</v>
      </c>
      <c r="C86" s="26">
        <v>5</v>
      </c>
      <c r="D86" s="30">
        <f t="shared" si="20"/>
        <v>5</v>
      </c>
      <c r="E86" s="26">
        <v>4</v>
      </c>
      <c r="F86" s="24">
        <f t="shared" si="21"/>
        <v>4</v>
      </c>
      <c r="G86" s="26">
        <v>3</v>
      </c>
      <c r="H86" s="24">
        <f t="shared" si="22"/>
        <v>3</v>
      </c>
    </row>
    <row r="87" spans="2:8" x14ac:dyDescent="0.25">
      <c r="B87" s="25" t="s">
        <v>28</v>
      </c>
      <c r="C87" s="26">
        <v>0</v>
      </c>
      <c r="D87" s="30">
        <f t="shared" si="20"/>
        <v>0</v>
      </c>
      <c r="E87" s="26">
        <v>1</v>
      </c>
      <c r="F87" s="24">
        <f t="shared" si="21"/>
        <v>1</v>
      </c>
      <c r="G87" s="26">
        <v>3</v>
      </c>
      <c r="H87" s="24">
        <f t="shared" si="22"/>
        <v>3</v>
      </c>
    </row>
    <row r="88" spans="2:8" x14ac:dyDescent="0.25">
      <c r="B88" s="25" t="s">
        <v>27</v>
      </c>
      <c r="C88" s="26">
        <v>1</v>
      </c>
      <c r="D88" s="30">
        <f t="shared" si="20"/>
        <v>1</v>
      </c>
      <c r="E88" s="26">
        <v>1</v>
      </c>
      <c r="F88" s="24">
        <f t="shared" si="21"/>
        <v>1</v>
      </c>
      <c r="G88" s="26">
        <v>2</v>
      </c>
      <c r="H88" s="24">
        <f t="shared" si="22"/>
        <v>2</v>
      </c>
    </row>
    <row r="89" spans="2:8" x14ac:dyDescent="0.25">
      <c r="B89" s="25" t="s">
        <v>145</v>
      </c>
      <c r="C89" s="26">
        <v>4</v>
      </c>
      <c r="D89" s="30">
        <f t="shared" si="20"/>
        <v>4</v>
      </c>
      <c r="E89" s="26">
        <v>1</v>
      </c>
      <c r="F89" s="24">
        <f t="shared" si="21"/>
        <v>1</v>
      </c>
      <c r="G89" s="26">
        <v>2</v>
      </c>
      <c r="H89" s="24">
        <f t="shared" si="22"/>
        <v>2</v>
      </c>
    </row>
    <row r="90" spans="2:8" x14ac:dyDescent="0.25">
      <c r="B90" s="25" t="s">
        <v>25</v>
      </c>
      <c r="C90" s="26">
        <v>1</v>
      </c>
      <c r="D90" s="30">
        <f t="shared" si="20"/>
        <v>1</v>
      </c>
      <c r="E90" s="26">
        <v>3</v>
      </c>
      <c r="F90" s="24">
        <f t="shared" si="21"/>
        <v>3</v>
      </c>
      <c r="G90" s="26">
        <v>1</v>
      </c>
      <c r="H90" s="24">
        <f t="shared" si="22"/>
        <v>1</v>
      </c>
    </row>
    <row r="91" spans="2:8" x14ac:dyDescent="0.25">
      <c r="B91" s="25" t="s">
        <v>31</v>
      </c>
      <c r="C91" s="26">
        <v>0</v>
      </c>
      <c r="D91" s="30">
        <v>0</v>
      </c>
      <c r="E91" s="26">
        <v>1</v>
      </c>
      <c r="F91" s="24">
        <f t="shared" si="21"/>
        <v>1</v>
      </c>
      <c r="G91" s="26">
        <v>1</v>
      </c>
      <c r="H91" s="24">
        <f t="shared" si="22"/>
        <v>1</v>
      </c>
    </row>
    <row r="92" spans="2:8" x14ac:dyDescent="0.25">
      <c r="B92" s="25" t="s">
        <v>35</v>
      </c>
      <c r="C92" s="26">
        <v>0</v>
      </c>
      <c r="D92" s="30">
        <v>0</v>
      </c>
      <c r="E92" s="26">
        <v>0</v>
      </c>
      <c r="F92" s="24">
        <f t="shared" si="21"/>
        <v>0</v>
      </c>
      <c r="G92" s="26">
        <v>1</v>
      </c>
      <c r="H92" s="24">
        <f t="shared" si="22"/>
        <v>1</v>
      </c>
    </row>
    <row r="93" spans="2:8" x14ac:dyDescent="0.25">
      <c r="B93" s="25" t="s">
        <v>29</v>
      </c>
      <c r="C93" s="26">
        <v>0</v>
      </c>
      <c r="D93" s="30">
        <f>C93</f>
        <v>0</v>
      </c>
      <c r="E93" s="26">
        <v>0</v>
      </c>
      <c r="F93" s="24">
        <f t="shared" si="21"/>
        <v>0</v>
      </c>
      <c r="G93" s="26">
        <v>0</v>
      </c>
      <c r="H93" s="24">
        <f t="shared" si="22"/>
        <v>0</v>
      </c>
    </row>
    <row r="94" spans="2:8" x14ac:dyDescent="0.25">
      <c r="B94" s="25" t="s">
        <v>38</v>
      </c>
      <c r="C94" s="28">
        <v>1</v>
      </c>
      <c r="D94" s="31">
        <f>C94</f>
        <v>1</v>
      </c>
      <c r="E94" s="26">
        <v>0</v>
      </c>
      <c r="F94" s="35">
        <f t="shared" si="21"/>
        <v>0</v>
      </c>
      <c r="G94" s="26">
        <v>0</v>
      </c>
      <c r="H94" s="35">
        <f t="shared" si="22"/>
        <v>0</v>
      </c>
    </row>
    <row r="95" spans="2:8" ht="15.75" thickBot="1" x14ac:dyDescent="0.3">
      <c r="B95" s="27" t="s">
        <v>86</v>
      </c>
      <c r="C95" s="28">
        <v>2</v>
      </c>
      <c r="D95" s="32">
        <f>C95</f>
        <v>2</v>
      </c>
      <c r="E95" s="36">
        <v>0</v>
      </c>
      <c r="F95" s="37">
        <f t="shared" si="21"/>
        <v>0</v>
      </c>
      <c r="G95" s="36">
        <v>0</v>
      </c>
      <c r="H95" s="37">
        <f t="shared" si="22"/>
        <v>0</v>
      </c>
    </row>
    <row r="96" spans="2:8" ht="15.75" thickBot="1" x14ac:dyDescent="0.3">
      <c r="B96" s="17" t="s">
        <v>3</v>
      </c>
      <c r="C96" s="74">
        <f t="shared" ref="C96:H96" si="23">SUM(C84:C95)</f>
        <v>24</v>
      </c>
      <c r="D96" s="76">
        <f t="shared" si="23"/>
        <v>24</v>
      </c>
      <c r="E96" s="58">
        <f t="shared" si="23"/>
        <v>18</v>
      </c>
      <c r="F96" s="83">
        <f>SUM(F84:F95)</f>
        <v>18</v>
      </c>
      <c r="G96" s="16">
        <f t="shared" si="23"/>
        <v>21</v>
      </c>
      <c r="H96" s="16">
        <f t="shared" si="23"/>
        <v>21</v>
      </c>
    </row>
    <row r="99" spans="2:8" ht="15.75" thickBot="1" x14ac:dyDescent="0.3"/>
    <row r="100" spans="2:8" ht="15.75" thickBot="1" x14ac:dyDescent="0.3">
      <c r="B100" s="204" t="s">
        <v>60</v>
      </c>
      <c r="C100" s="202" t="s">
        <v>85</v>
      </c>
      <c r="D100" s="203"/>
      <c r="E100" s="194" t="s">
        <v>72</v>
      </c>
      <c r="F100" s="195"/>
      <c r="G100" s="196" t="s">
        <v>73</v>
      </c>
      <c r="H100" s="197"/>
    </row>
    <row r="101" spans="2:8" ht="15.75" thickBot="1" x14ac:dyDescent="0.3">
      <c r="B101" s="205"/>
      <c r="C101" s="74">
        <v>2022</v>
      </c>
      <c r="D101" s="76" t="s">
        <v>3</v>
      </c>
      <c r="E101" s="58">
        <v>2022</v>
      </c>
      <c r="F101" s="59" t="s">
        <v>3</v>
      </c>
      <c r="G101" s="1">
        <v>2023</v>
      </c>
      <c r="H101" s="2" t="s">
        <v>3</v>
      </c>
    </row>
    <row r="102" spans="2:8" x14ac:dyDescent="0.25">
      <c r="B102" s="22" t="s">
        <v>129</v>
      </c>
      <c r="C102" s="23">
        <v>7</v>
      </c>
      <c r="D102" s="30">
        <f t="shared" ref="D102:D107" si="24">C102</f>
        <v>7</v>
      </c>
      <c r="E102" s="33">
        <v>4</v>
      </c>
      <c r="F102" s="34">
        <f t="shared" ref="F102:F114" si="25">E102</f>
        <v>4</v>
      </c>
      <c r="G102" s="33">
        <v>5</v>
      </c>
      <c r="H102" s="34">
        <f t="shared" ref="H102:H114" si="26">G102</f>
        <v>5</v>
      </c>
    </row>
    <row r="103" spans="2:8" x14ac:dyDescent="0.25">
      <c r="B103" s="25" t="s">
        <v>130</v>
      </c>
      <c r="C103" s="26">
        <v>5</v>
      </c>
      <c r="D103" s="30">
        <f t="shared" si="24"/>
        <v>5</v>
      </c>
      <c r="E103" s="26">
        <v>3</v>
      </c>
      <c r="F103" s="24">
        <f t="shared" si="25"/>
        <v>3</v>
      </c>
      <c r="G103" s="26">
        <v>4</v>
      </c>
      <c r="H103" s="24">
        <f t="shared" si="26"/>
        <v>4</v>
      </c>
    </row>
    <row r="104" spans="2:8" x14ac:dyDescent="0.25">
      <c r="B104" s="25" t="s">
        <v>26</v>
      </c>
      <c r="C104" s="26">
        <v>3</v>
      </c>
      <c r="D104" s="30">
        <f t="shared" si="24"/>
        <v>3</v>
      </c>
      <c r="E104" s="26">
        <v>4</v>
      </c>
      <c r="F104" s="24">
        <f t="shared" si="25"/>
        <v>4</v>
      </c>
      <c r="G104" s="26">
        <v>3</v>
      </c>
      <c r="H104" s="24">
        <f t="shared" si="26"/>
        <v>3</v>
      </c>
    </row>
    <row r="105" spans="2:8" x14ac:dyDescent="0.25">
      <c r="B105" s="25" t="s">
        <v>29</v>
      </c>
      <c r="C105" s="26">
        <v>0</v>
      </c>
      <c r="D105" s="30">
        <f t="shared" si="24"/>
        <v>0</v>
      </c>
      <c r="E105" s="26">
        <v>0</v>
      </c>
      <c r="F105" s="24">
        <f t="shared" si="25"/>
        <v>0</v>
      </c>
      <c r="G105" s="26">
        <v>3</v>
      </c>
      <c r="H105" s="24">
        <f t="shared" si="26"/>
        <v>3</v>
      </c>
    </row>
    <row r="106" spans="2:8" x14ac:dyDescent="0.25">
      <c r="B106" s="25" t="s">
        <v>27</v>
      </c>
      <c r="C106" s="26">
        <v>1</v>
      </c>
      <c r="D106" s="30">
        <f t="shared" si="24"/>
        <v>1</v>
      </c>
      <c r="E106" s="26">
        <v>2</v>
      </c>
      <c r="F106" s="24">
        <f t="shared" si="25"/>
        <v>2</v>
      </c>
      <c r="G106" s="26">
        <v>2</v>
      </c>
      <c r="H106" s="24">
        <f t="shared" si="26"/>
        <v>2</v>
      </c>
    </row>
    <row r="107" spans="2:8" x14ac:dyDescent="0.25">
      <c r="B107" s="25" t="s">
        <v>25</v>
      </c>
      <c r="C107" s="26">
        <v>1</v>
      </c>
      <c r="D107" s="30">
        <f t="shared" si="24"/>
        <v>1</v>
      </c>
      <c r="E107" s="26">
        <v>1</v>
      </c>
      <c r="F107" s="24">
        <f t="shared" si="25"/>
        <v>1</v>
      </c>
      <c r="G107" s="26">
        <v>2</v>
      </c>
      <c r="H107" s="24">
        <f t="shared" si="26"/>
        <v>2</v>
      </c>
    </row>
    <row r="108" spans="2:8" x14ac:dyDescent="0.25">
      <c r="B108" s="25" t="s">
        <v>31</v>
      </c>
      <c r="C108" s="26">
        <v>0</v>
      </c>
      <c r="D108" s="30">
        <v>0</v>
      </c>
      <c r="E108" s="26">
        <v>1</v>
      </c>
      <c r="F108" s="24">
        <f t="shared" si="25"/>
        <v>1</v>
      </c>
      <c r="G108" s="26">
        <v>1</v>
      </c>
      <c r="H108" s="24">
        <f t="shared" si="26"/>
        <v>1</v>
      </c>
    </row>
    <row r="109" spans="2:8" x14ac:dyDescent="0.25">
      <c r="B109" s="25" t="s">
        <v>32</v>
      </c>
      <c r="C109" s="26">
        <v>0</v>
      </c>
      <c r="D109" s="30">
        <v>0</v>
      </c>
      <c r="E109" s="26">
        <v>0</v>
      </c>
      <c r="F109" s="24">
        <f t="shared" si="25"/>
        <v>0</v>
      </c>
      <c r="G109" s="26">
        <v>1</v>
      </c>
      <c r="H109" s="24">
        <f t="shared" si="26"/>
        <v>1</v>
      </c>
    </row>
    <row r="110" spans="2:8" x14ac:dyDescent="0.25">
      <c r="B110" s="25" t="s">
        <v>28</v>
      </c>
      <c r="C110" s="26">
        <v>0</v>
      </c>
      <c r="D110" s="30">
        <f>C110</f>
        <v>0</v>
      </c>
      <c r="E110" s="26">
        <v>3</v>
      </c>
      <c r="F110" s="24">
        <f t="shared" si="25"/>
        <v>3</v>
      </c>
      <c r="G110" s="26">
        <v>0</v>
      </c>
      <c r="H110" s="24">
        <f t="shared" si="26"/>
        <v>0</v>
      </c>
    </row>
    <row r="111" spans="2:8" x14ac:dyDescent="0.25">
      <c r="B111" s="18" t="s">
        <v>145</v>
      </c>
      <c r="C111" s="26">
        <v>4</v>
      </c>
      <c r="D111" s="30">
        <f>C111</f>
        <v>4</v>
      </c>
      <c r="E111" s="26">
        <v>2</v>
      </c>
      <c r="F111" s="24">
        <f t="shared" si="25"/>
        <v>2</v>
      </c>
      <c r="G111" s="26">
        <v>0</v>
      </c>
      <c r="H111" s="24">
        <f t="shared" si="26"/>
        <v>0</v>
      </c>
    </row>
    <row r="112" spans="2:8" x14ac:dyDescent="0.25">
      <c r="B112" s="25" t="s">
        <v>35</v>
      </c>
      <c r="C112" s="26">
        <v>0</v>
      </c>
      <c r="D112" s="30">
        <v>0</v>
      </c>
      <c r="E112" s="26">
        <v>1</v>
      </c>
      <c r="F112" s="24">
        <f t="shared" si="25"/>
        <v>1</v>
      </c>
      <c r="G112" s="26">
        <v>0</v>
      </c>
      <c r="H112" s="24">
        <f t="shared" si="26"/>
        <v>0</v>
      </c>
    </row>
    <row r="113" spans="2:8" x14ac:dyDescent="0.25">
      <c r="B113" s="25" t="s">
        <v>38</v>
      </c>
      <c r="C113" s="28">
        <v>1</v>
      </c>
      <c r="D113" s="31">
        <f>C113</f>
        <v>1</v>
      </c>
      <c r="E113" s="26">
        <v>0</v>
      </c>
      <c r="F113" s="35">
        <f t="shared" si="25"/>
        <v>0</v>
      </c>
      <c r="G113" s="26">
        <v>0</v>
      </c>
      <c r="H113" s="35">
        <f t="shared" si="26"/>
        <v>0</v>
      </c>
    </row>
    <row r="114" spans="2:8" ht="15.75" thickBot="1" x14ac:dyDescent="0.3">
      <c r="B114" s="27" t="s">
        <v>86</v>
      </c>
      <c r="C114" s="28">
        <v>2</v>
      </c>
      <c r="D114" s="32">
        <f>C114</f>
        <v>2</v>
      </c>
      <c r="E114" s="36">
        <v>0</v>
      </c>
      <c r="F114" s="37">
        <f t="shared" si="25"/>
        <v>0</v>
      </c>
      <c r="G114" s="36">
        <v>0</v>
      </c>
      <c r="H114" s="37">
        <f t="shared" si="26"/>
        <v>0</v>
      </c>
    </row>
    <row r="115" spans="2:8" ht="15.75" thickBot="1" x14ac:dyDescent="0.3">
      <c r="B115" s="17" t="s">
        <v>3</v>
      </c>
      <c r="C115" s="74">
        <f t="shared" ref="C115:E115" si="27">SUM(C102:C114)</f>
        <v>24</v>
      </c>
      <c r="D115" s="76">
        <f t="shared" si="27"/>
        <v>24</v>
      </c>
      <c r="E115" s="58">
        <f t="shared" si="27"/>
        <v>21</v>
      </c>
      <c r="F115" s="83">
        <f>SUM(F102:F114)</f>
        <v>21</v>
      </c>
      <c r="G115" s="16">
        <f t="shared" ref="G115:H115" si="28">SUM(G102:G114)</f>
        <v>21</v>
      </c>
      <c r="H115" s="16">
        <f t="shared" si="28"/>
        <v>21</v>
      </c>
    </row>
    <row r="118" spans="2:8" ht="15.75" thickBot="1" x14ac:dyDescent="0.3"/>
    <row r="119" spans="2:8" ht="15.75" thickBot="1" x14ac:dyDescent="0.3">
      <c r="B119" s="204" t="s">
        <v>60</v>
      </c>
      <c r="C119" s="202" t="s">
        <v>85</v>
      </c>
      <c r="D119" s="203"/>
      <c r="E119" s="194" t="s">
        <v>73</v>
      </c>
      <c r="F119" s="195"/>
      <c r="G119" s="196" t="s">
        <v>74</v>
      </c>
      <c r="H119" s="197"/>
    </row>
    <row r="120" spans="2:8" ht="15.75" thickBot="1" x14ac:dyDescent="0.3">
      <c r="B120" s="205"/>
      <c r="C120" s="74">
        <v>2022</v>
      </c>
      <c r="D120" s="76" t="s">
        <v>3</v>
      </c>
      <c r="E120" s="58">
        <v>2022</v>
      </c>
      <c r="F120" s="59" t="s">
        <v>3</v>
      </c>
      <c r="G120" s="1">
        <v>2023</v>
      </c>
      <c r="H120" s="2" t="s">
        <v>3</v>
      </c>
    </row>
    <row r="121" spans="2:8" x14ac:dyDescent="0.25">
      <c r="B121" s="22" t="s">
        <v>130</v>
      </c>
      <c r="C121" s="23">
        <v>5</v>
      </c>
      <c r="D121" s="30">
        <f t="shared" ref="D121:D126" si="29">C121</f>
        <v>5</v>
      </c>
      <c r="E121" s="33">
        <v>4</v>
      </c>
      <c r="F121" s="34">
        <f t="shared" ref="F121:F133" si="30">E121</f>
        <v>4</v>
      </c>
      <c r="G121" s="33">
        <v>5</v>
      </c>
      <c r="H121" s="34">
        <f t="shared" ref="H121:H133" si="31">G121</f>
        <v>5</v>
      </c>
    </row>
    <row r="122" spans="2:8" x14ac:dyDescent="0.25">
      <c r="B122" s="25" t="s">
        <v>26</v>
      </c>
      <c r="C122" s="26">
        <v>3</v>
      </c>
      <c r="D122" s="30">
        <f t="shared" si="29"/>
        <v>3</v>
      </c>
      <c r="E122" s="26">
        <v>3</v>
      </c>
      <c r="F122" s="24">
        <f t="shared" si="30"/>
        <v>3</v>
      </c>
      <c r="G122" s="26">
        <v>3</v>
      </c>
      <c r="H122" s="24">
        <f t="shared" si="31"/>
        <v>3</v>
      </c>
    </row>
    <row r="123" spans="2:8" x14ac:dyDescent="0.25">
      <c r="B123" s="25" t="s">
        <v>27</v>
      </c>
      <c r="C123" s="26">
        <v>1</v>
      </c>
      <c r="D123" s="30">
        <f t="shared" si="29"/>
        <v>1</v>
      </c>
      <c r="E123" s="26">
        <v>2</v>
      </c>
      <c r="F123" s="24">
        <f t="shared" si="30"/>
        <v>2</v>
      </c>
      <c r="G123" s="26">
        <v>3</v>
      </c>
      <c r="H123" s="24">
        <f t="shared" si="31"/>
        <v>3</v>
      </c>
    </row>
    <row r="124" spans="2:8" x14ac:dyDescent="0.25">
      <c r="B124" s="25" t="s">
        <v>129</v>
      </c>
      <c r="C124" s="26">
        <v>7</v>
      </c>
      <c r="D124" s="30">
        <f t="shared" si="29"/>
        <v>7</v>
      </c>
      <c r="E124" s="26">
        <v>5</v>
      </c>
      <c r="F124" s="24">
        <f t="shared" si="30"/>
        <v>5</v>
      </c>
      <c r="G124" s="26">
        <v>2</v>
      </c>
      <c r="H124" s="24">
        <f t="shared" si="31"/>
        <v>2</v>
      </c>
    </row>
    <row r="125" spans="2:8" x14ac:dyDescent="0.25">
      <c r="B125" s="25" t="s">
        <v>25</v>
      </c>
      <c r="C125" s="26">
        <v>1</v>
      </c>
      <c r="D125" s="30">
        <f t="shared" si="29"/>
        <v>1</v>
      </c>
      <c r="E125" s="26">
        <v>2</v>
      </c>
      <c r="F125" s="24">
        <f t="shared" si="30"/>
        <v>2</v>
      </c>
      <c r="G125" s="26">
        <v>2</v>
      </c>
      <c r="H125" s="24">
        <f t="shared" si="31"/>
        <v>2</v>
      </c>
    </row>
    <row r="126" spans="2:8" x14ac:dyDescent="0.25">
      <c r="B126" s="25" t="s">
        <v>29</v>
      </c>
      <c r="C126" s="26">
        <v>0</v>
      </c>
      <c r="D126" s="30">
        <f t="shared" si="29"/>
        <v>0</v>
      </c>
      <c r="E126" s="26">
        <v>3</v>
      </c>
      <c r="F126" s="24">
        <f t="shared" si="30"/>
        <v>3</v>
      </c>
      <c r="G126" s="26">
        <v>1</v>
      </c>
      <c r="H126" s="24">
        <f t="shared" si="31"/>
        <v>1</v>
      </c>
    </row>
    <row r="127" spans="2:8" x14ac:dyDescent="0.25">
      <c r="B127" s="25" t="s">
        <v>31</v>
      </c>
      <c r="C127" s="26">
        <v>0</v>
      </c>
      <c r="D127" s="30">
        <v>0</v>
      </c>
      <c r="E127" s="26">
        <v>1</v>
      </c>
      <c r="F127" s="24">
        <f t="shared" si="30"/>
        <v>1</v>
      </c>
      <c r="G127" s="26">
        <v>1</v>
      </c>
      <c r="H127" s="24">
        <f t="shared" si="31"/>
        <v>1</v>
      </c>
    </row>
    <row r="128" spans="2:8" x14ac:dyDescent="0.25">
      <c r="B128" s="25" t="s">
        <v>32</v>
      </c>
      <c r="C128" s="26">
        <v>0</v>
      </c>
      <c r="D128" s="30">
        <v>0</v>
      </c>
      <c r="E128" s="26">
        <v>1</v>
      </c>
      <c r="F128" s="24">
        <f t="shared" si="30"/>
        <v>1</v>
      </c>
      <c r="G128" s="26">
        <v>1</v>
      </c>
      <c r="H128" s="24">
        <f t="shared" si="31"/>
        <v>1</v>
      </c>
    </row>
    <row r="129" spans="2:8" x14ac:dyDescent="0.25">
      <c r="B129" s="25" t="s">
        <v>28</v>
      </c>
      <c r="C129" s="26">
        <v>0</v>
      </c>
      <c r="D129" s="30">
        <f>C129</f>
        <v>0</v>
      </c>
      <c r="E129" s="26">
        <v>0</v>
      </c>
      <c r="F129" s="24">
        <f t="shared" si="30"/>
        <v>0</v>
      </c>
      <c r="G129" s="26">
        <v>0</v>
      </c>
      <c r="H129" s="24">
        <f t="shared" si="31"/>
        <v>0</v>
      </c>
    </row>
    <row r="130" spans="2:8" x14ac:dyDescent="0.25">
      <c r="B130" s="18" t="s">
        <v>145</v>
      </c>
      <c r="C130" s="26">
        <v>4</v>
      </c>
      <c r="D130" s="30">
        <f>C130</f>
        <v>4</v>
      </c>
      <c r="E130" s="26">
        <v>0</v>
      </c>
      <c r="F130" s="24">
        <f t="shared" si="30"/>
        <v>0</v>
      </c>
      <c r="G130" s="26">
        <v>0</v>
      </c>
      <c r="H130" s="24">
        <f t="shared" si="31"/>
        <v>0</v>
      </c>
    </row>
    <row r="131" spans="2:8" x14ac:dyDescent="0.25">
      <c r="B131" s="25" t="s">
        <v>35</v>
      </c>
      <c r="C131" s="26">
        <v>0</v>
      </c>
      <c r="D131" s="30">
        <v>0</v>
      </c>
      <c r="E131" s="26">
        <v>0</v>
      </c>
      <c r="F131" s="24">
        <f t="shared" si="30"/>
        <v>0</v>
      </c>
      <c r="G131" s="26">
        <v>0</v>
      </c>
      <c r="H131" s="24">
        <f t="shared" si="31"/>
        <v>0</v>
      </c>
    </row>
    <row r="132" spans="2:8" x14ac:dyDescent="0.25">
      <c r="B132" s="25" t="s">
        <v>38</v>
      </c>
      <c r="C132" s="28">
        <v>1</v>
      </c>
      <c r="D132" s="31">
        <f>C132</f>
        <v>1</v>
      </c>
      <c r="E132" s="26">
        <v>0</v>
      </c>
      <c r="F132" s="35">
        <f t="shared" si="30"/>
        <v>0</v>
      </c>
      <c r="G132" s="26">
        <v>0</v>
      </c>
      <c r="H132" s="35">
        <f t="shared" si="31"/>
        <v>0</v>
      </c>
    </row>
    <row r="133" spans="2:8" ht="15.75" thickBot="1" x14ac:dyDescent="0.3">
      <c r="B133" s="27" t="s">
        <v>86</v>
      </c>
      <c r="C133" s="28">
        <v>2</v>
      </c>
      <c r="D133" s="32">
        <f>C133</f>
        <v>2</v>
      </c>
      <c r="E133" s="36">
        <v>0</v>
      </c>
      <c r="F133" s="37">
        <f t="shared" si="30"/>
        <v>0</v>
      </c>
      <c r="G133" s="36">
        <v>0</v>
      </c>
      <c r="H133" s="37">
        <f t="shared" si="31"/>
        <v>0</v>
      </c>
    </row>
    <row r="134" spans="2:8" ht="15.75" thickBot="1" x14ac:dyDescent="0.3">
      <c r="B134" s="17" t="s">
        <v>3</v>
      </c>
      <c r="C134" s="74">
        <f t="shared" ref="C134:E134" si="32">SUM(C121:C133)</f>
        <v>24</v>
      </c>
      <c r="D134" s="76">
        <f t="shared" si="32"/>
        <v>24</v>
      </c>
      <c r="E134" s="58">
        <f t="shared" si="32"/>
        <v>21</v>
      </c>
      <c r="F134" s="83">
        <f>SUM(F121:F133)</f>
        <v>21</v>
      </c>
      <c r="G134" s="16">
        <f t="shared" ref="G134:H134" si="33">SUM(G121:G133)</f>
        <v>18</v>
      </c>
      <c r="H134" s="16">
        <f t="shared" si="33"/>
        <v>18</v>
      </c>
    </row>
    <row r="137" spans="2:8" ht="15.75" thickBot="1" x14ac:dyDescent="0.3"/>
    <row r="138" spans="2:8" ht="15.75" thickBot="1" x14ac:dyDescent="0.3">
      <c r="B138" s="204" t="s">
        <v>60</v>
      </c>
      <c r="C138" s="202" t="s">
        <v>85</v>
      </c>
      <c r="D138" s="203"/>
      <c r="E138" s="194" t="s">
        <v>74</v>
      </c>
      <c r="F138" s="195"/>
      <c r="G138" s="196" t="s">
        <v>75</v>
      </c>
      <c r="H138" s="197"/>
    </row>
    <row r="139" spans="2:8" ht="15.75" thickBot="1" x14ac:dyDescent="0.3">
      <c r="B139" s="205"/>
      <c r="C139" s="74">
        <v>2022</v>
      </c>
      <c r="D139" s="76" t="s">
        <v>3</v>
      </c>
      <c r="E139" s="58">
        <v>2022</v>
      </c>
      <c r="F139" s="59" t="s">
        <v>3</v>
      </c>
      <c r="G139" s="1">
        <v>2023</v>
      </c>
      <c r="H139" s="2" t="s">
        <v>3</v>
      </c>
    </row>
    <row r="140" spans="2:8" x14ac:dyDescent="0.25">
      <c r="B140" s="22" t="s">
        <v>130</v>
      </c>
      <c r="C140" s="23">
        <v>5</v>
      </c>
      <c r="D140" s="30">
        <f t="shared" ref="D140:D145" si="34">C140</f>
        <v>5</v>
      </c>
      <c r="E140" s="33">
        <v>5</v>
      </c>
      <c r="F140" s="34">
        <f t="shared" ref="F140:F146" si="35">E140</f>
        <v>5</v>
      </c>
      <c r="G140" s="33">
        <v>6</v>
      </c>
      <c r="H140" s="34">
        <f t="shared" ref="H140:H155" si="36">G140</f>
        <v>6</v>
      </c>
    </row>
    <row r="141" spans="2:8" x14ac:dyDescent="0.25">
      <c r="B141" s="25" t="s">
        <v>26</v>
      </c>
      <c r="C141" s="26">
        <v>3</v>
      </c>
      <c r="D141" s="30">
        <f t="shared" si="34"/>
        <v>3</v>
      </c>
      <c r="E141" s="26">
        <v>3</v>
      </c>
      <c r="F141" s="24">
        <f t="shared" si="35"/>
        <v>3</v>
      </c>
      <c r="G141" s="26">
        <v>6</v>
      </c>
      <c r="H141" s="24">
        <f t="shared" si="36"/>
        <v>6</v>
      </c>
    </row>
    <row r="142" spans="2:8" x14ac:dyDescent="0.25">
      <c r="B142" s="25" t="s">
        <v>25</v>
      </c>
      <c r="C142" s="26">
        <v>1</v>
      </c>
      <c r="D142" s="30">
        <f t="shared" si="34"/>
        <v>1</v>
      </c>
      <c r="E142" s="26">
        <v>2</v>
      </c>
      <c r="F142" s="24">
        <f t="shared" si="35"/>
        <v>2</v>
      </c>
      <c r="G142" s="26">
        <v>4</v>
      </c>
      <c r="H142" s="24">
        <f t="shared" si="36"/>
        <v>4</v>
      </c>
    </row>
    <row r="143" spans="2:8" x14ac:dyDescent="0.25">
      <c r="B143" s="25" t="s">
        <v>28</v>
      </c>
      <c r="C143" s="26">
        <v>0</v>
      </c>
      <c r="D143" s="30">
        <f t="shared" si="34"/>
        <v>0</v>
      </c>
      <c r="E143" s="26">
        <v>0</v>
      </c>
      <c r="F143" s="24">
        <f t="shared" si="35"/>
        <v>0</v>
      </c>
      <c r="G143" s="26">
        <v>3</v>
      </c>
      <c r="H143" s="24">
        <f t="shared" si="36"/>
        <v>3</v>
      </c>
    </row>
    <row r="144" spans="2:8" x14ac:dyDescent="0.25">
      <c r="B144" s="25" t="s">
        <v>27</v>
      </c>
      <c r="C144" s="26">
        <v>1</v>
      </c>
      <c r="D144" s="30">
        <f t="shared" si="34"/>
        <v>1</v>
      </c>
      <c r="E144" s="26">
        <v>3</v>
      </c>
      <c r="F144" s="24">
        <f t="shared" si="35"/>
        <v>3</v>
      </c>
      <c r="G144" s="26">
        <v>2</v>
      </c>
      <c r="H144" s="24">
        <f t="shared" si="36"/>
        <v>2</v>
      </c>
    </row>
    <row r="145" spans="2:8" x14ac:dyDescent="0.25">
      <c r="B145" s="25" t="s">
        <v>129</v>
      </c>
      <c r="C145" s="26">
        <v>7</v>
      </c>
      <c r="D145" s="30">
        <f t="shared" si="34"/>
        <v>7</v>
      </c>
      <c r="E145" s="26">
        <v>2</v>
      </c>
      <c r="F145" s="24">
        <f t="shared" si="35"/>
        <v>2</v>
      </c>
      <c r="G145" s="26">
        <v>2</v>
      </c>
      <c r="H145" s="24">
        <f t="shared" si="36"/>
        <v>2</v>
      </c>
    </row>
    <row r="146" spans="2:8" x14ac:dyDescent="0.25">
      <c r="B146" s="18" t="s">
        <v>36</v>
      </c>
      <c r="C146" s="26">
        <v>0</v>
      </c>
      <c r="D146" s="30">
        <v>0</v>
      </c>
      <c r="E146" s="26">
        <v>0</v>
      </c>
      <c r="F146" s="24">
        <f t="shared" si="35"/>
        <v>0</v>
      </c>
      <c r="G146" s="26">
        <v>1</v>
      </c>
      <c r="H146" s="24">
        <f t="shared" si="36"/>
        <v>1</v>
      </c>
    </row>
    <row r="147" spans="2:8" x14ac:dyDescent="0.25">
      <c r="B147" s="25" t="s">
        <v>87</v>
      </c>
      <c r="C147" s="26">
        <v>0</v>
      </c>
      <c r="D147" s="30">
        <v>0</v>
      </c>
      <c r="E147" s="26">
        <v>0</v>
      </c>
      <c r="F147" s="24">
        <v>0</v>
      </c>
      <c r="G147" s="26">
        <v>1</v>
      </c>
      <c r="H147" s="24">
        <f t="shared" si="36"/>
        <v>1</v>
      </c>
    </row>
    <row r="148" spans="2:8" x14ac:dyDescent="0.25">
      <c r="B148" s="25" t="s">
        <v>88</v>
      </c>
      <c r="C148" s="26">
        <v>0</v>
      </c>
      <c r="D148" s="30">
        <v>0</v>
      </c>
      <c r="E148" s="26">
        <v>0</v>
      </c>
      <c r="F148" s="24">
        <f t="shared" ref="F148:F155" si="37">E148</f>
        <v>0</v>
      </c>
      <c r="G148" s="26">
        <v>1</v>
      </c>
      <c r="H148" s="24">
        <f t="shared" si="36"/>
        <v>1</v>
      </c>
    </row>
    <row r="149" spans="2:8" x14ac:dyDescent="0.25">
      <c r="B149" s="25" t="s">
        <v>29</v>
      </c>
      <c r="C149" s="26">
        <v>0</v>
      </c>
      <c r="D149" s="30">
        <f>C149</f>
        <v>0</v>
      </c>
      <c r="E149" s="26">
        <v>1</v>
      </c>
      <c r="F149" s="24">
        <f t="shared" si="37"/>
        <v>1</v>
      </c>
      <c r="G149" s="26">
        <v>0</v>
      </c>
      <c r="H149" s="24">
        <f t="shared" si="36"/>
        <v>0</v>
      </c>
    </row>
    <row r="150" spans="2:8" x14ac:dyDescent="0.25">
      <c r="B150" s="18" t="s">
        <v>31</v>
      </c>
      <c r="C150" s="26">
        <v>0</v>
      </c>
      <c r="D150" s="30">
        <v>0</v>
      </c>
      <c r="E150" s="26">
        <v>1</v>
      </c>
      <c r="F150" s="24">
        <f t="shared" si="37"/>
        <v>1</v>
      </c>
      <c r="G150" s="26">
        <v>0</v>
      </c>
      <c r="H150" s="24">
        <f t="shared" si="36"/>
        <v>0</v>
      </c>
    </row>
    <row r="151" spans="2:8" x14ac:dyDescent="0.25">
      <c r="B151" s="18" t="s">
        <v>32</v>
      </c>
      <c r="C151" s="26">
        <v>0</v>
      </c>
      <c r="D151" s="30">
        <v>0</v>
      </c>
      <c r="E151" s="26">
        <v>1</v>
      </c>
      <c r="F151" s="24">
        <f t="shared" si="37"/>
        <v>1</v>
      </c>
      <c r="G151" s="26">
        <v>0</v>
      </c>
      <c r="H151" s="24">
        <f t="shared" si="36"/>
        <v>0</v>
      </c>
    </row>
    <row r="152" spans="2:8" x14ac:dyDescent="0.25">
      <c r="B152" s="25" t="s">
        <v>145</v>
      </c>
      <c r="C152" s="26">
        <v>4</v>
      </c>
      <c r="D152" s="30">
        <f>C152</f>
        <v>4</v>
      </c>
      <c r="E152" s="26">
        <v>0</v>
      </c>
      <c r="F152" s="24">
        <f t="shared" si="37"/>
        <v>0</v>
      </c>
      <c r="G152" s="26">
        <v>0</v>
      </c>
      <c r="H152" s="24">
        <f t="shared" si="36"/>
        <v>0</v>
      </c>
    </row>
    <row r="153" spans="2:8" x14ac:dyDescent="0.25">
      <c r="B153" s="18" t="s">
        <v>35</v>
      </c>
      <c r="C153" s="28">
        <v>0</v>
      </c>
      <c r="D153" s="30">
        <v>0</v>
      </c>
      <c r="E153" s="26">
        <v>0</v>
      </c>
      <c r="F153" s="24">
        <f t="shared" si="37"/>
        <v>0</v>
      </c>
      <c r="G153" s="26">
        <v>0</v>
      </c>
      <c r="H153" s="24">
        <f t="shared" si="36"/>
        <v>0</v>
      </c>
    </row>
    <row r="154" spans="2:8" x14ac:dyDescent="0.25">
      <c r="B154" s="25" t="s">
        <v>38</v>
      </c>
      <c r="C154" s="28">
        <v>1</v>
      </c>
      <c r="D154" s="31">
        <f>C154</f>
        <v>1</v>
      </c>
      <c r="E154" s="26">
        <v>0</v>
      </c>
      <c r="F154" s="35">
        <f t="shared" si="37"/>
        <v>0</v>
      </c>
      <c r="G154" s="26">
        <v>0</v>
      </c>
      <c r="H154" s="35">
        <f t="shared" si="36"/>
        <v>0</v>
      </c>
    </row>
    <row r="155" spans="2:8" ht="15.75" thickBot="1" x14ac:dyDescent="0.3">
      <c r="B155" s="27" t="s">
        <v>86</v>
      </c>
      <c r="C155" s="28">
        <v>2</v>
      </c>
      <c r="D155" s="32">
        <f>C155</f>
        <v>2</v>
      </c>
      <c r="E155" s="36">
        <v>0</v>
      </c>
      <c r="F155" s="37">
        <f t="shared" si="37"/>
        <v>0</v>
      </c>
      <c r="G155" s="36">
        <v>0</v>
      </c>
      <c r="H155" s="37">
        <f t="shared" si="36"/>
        <v>0</v>
      </c>
    </row>
    <row r="156" spans="2:8" ht="15.75" thickBot="1" x14ac:dyDescent="0.3">
      <c r="B156" s="17" t="s">
        <v>3</v>
      </c>
      <c r="C156" s="74">
        <f t="shared" ref="C156:E156" si="38">SUM(C140:C155)</f>
        <v>24</v>
      </c>
      <c r="D156" s="76">
        <f t="shared" si="38"/>
        <v>24</v>
      </c>
      <c r="E156" s="58">
        <f t="shared" si="38"/>
        <v>18</v>
      </c>
      <c r="F156" s="83">
        <f>SUM(F140:F155)</f>
        <v>18</v>
      </c>
      <c r="G156" s="16">
        <f t="shared" ref="G156:H156" si="39">SUM(G140:G155)</f>
        <v>26</v>
      </c>
      <c r="H156" s="16">
        <f t="shared" si="39"/>
        <v>26</v>
      </c>
    </row>
    <row r="159" spans="2:8" ht="15.75" thickBot="1" x14ac:dyDescent="0.3"/>
    <row r="160" spans="2:8" ht="15.75" thickBot="1" x14ac:dyDescent="0.3">
      <c r="B160" s="204" t="s">
        <v>60</v>
      </c>
      <c r="C160" s="202" t="s">
        <v>85</v>
      </c>
      <c r="D160" s="203"/>
      <c r="E160" s="194" t="s">
        <v>75</v>
      </c>
      <c r="F160" s="195"/>
      <c r="G160" s="196" t="s">
        <v>76</v>
      </c>
      <c r="H160" s="197"/>
    </row>
    <row r="161" spans="2:8" ht="15.75" thickBot="1" x14ac:dyDescent="0.3">
      <c r="B161" s="205"/>
      <c r="C161" s="74">
        <v>2022</v>
      </c>
      <c r="D161" s="76" t="s">
        <v>3</v>
      </c>
      <c r="E161" s="58">
        <v>2022</v>
      </c>
      <c r="F161" s="59" t="s">
        <v>3</v>
      </c>
      <c r="G161" s="1">
        <v>2023</v>
      </c>
      <c r="H161" s="2" t="s">
        <v>3</v>
      </c>
    </row>
    <row r="162" spans="2:8" x14ac:dyDescent="0.25">
      <c r="B162" s="22" t="s">
        <v>25</v>
      </c>
      <c r="C162" s="23">
        <v>1</v>
      </c>
      <c r="D162" s="30">
        <f>C162</f>
        <v>1</v>
      </c>
      <c r="E162" s="33">
        <v>4</v>
      </c>
      <c r="F162" s="34">
        <f t="shared" ref="F162:F168" si="40">E162</f>
        <v>4</v>
      </c>
      <c r="G162" s="33">
        <v>7</v>
      </c>
      <c r="H162" s="34">
        <f t="shared" ref="H162:H168" si="41">G162</f>
        <v>7</v>
      </c>
    </row>
    <row r="163" spans="2:8" x14ac:dyDescent="0.25">
      <c r="B163" s="25" t="s">
        <v>129</v>
      </c>
      <c r="C163" s="26">
        <v>7</v>
      </c>
      <c r="D163" s="30">
        <f>C163</f>
        <v>7</v>
      </c>
      <c r="E163" s="26">
        <v>2</v>
      </c>
      <c r="F163" s="24">
        <f t="shared" si="40"/>
        <v>2</v>
      </c>
      <c r="G163" s="26">
        <v>4</v>
      </c>
      <c r="H163" s="24">
        <f t="shared" si="41"/>
        <v>4</v>
      </c>
    </row>
    <row r="164" spans="2:8" x14ac:dyDescent="0.25">
      <c r="B164" s="25" t="s">
        <v>130</v>
      </c>
      <c r="C164" s="26">
        <v>5</v>
      </c>
      <c r="D164" s="30">
        <f>C164</f>
        <v>5</v>
      </c>
      <c r="E164" s="26">
        <v>6</v>
      </c>
      <c r="F164" s="24">
        <f t="shared" si="40"/>
        <v>6</v>
      </c>
      <c r="G164" s="26">
        <v>3</v>
      </c>
      <c r="H164" s="24">
        <f t="shared" si="41"/>
        <v>3</v>
      </c>
    </row>
    <row r="165" spans="2:8" x14ac:dyDescent="0.25">
      <c r="B165" s="25" t="s">
        <v>26</v>
      </c>
      <c r="C165" s="26">
        <v>3</v>
      </c>
      <c r="D165" s="30">
        <f>C165</f>
        <v>3</v>
      </c>
      <c r="E165" s="26">
        <v>6</v>
      </c>
      <c r="F165" s="24">
        <f t="shared" si="40"/>
        <v>6</v>
      </c>
      <c r="G165" s="26">
        <v>2</v>
      </c>
      <c r="H165" s="24">
        <f t="shared" si="41"/>
        <v>2</v>
      </c>
    </row>
    <row r="166" spans="2:8" x14ac:dyDescent="0.25">
      <c r="B166" s="25" t="s">
        <v>28</v>
      </c>
      <c r="C166" s="26">
        <v>0</v>
      </c>
      <c r="D166" s="30">
        <f>C166</f>
        <v>0</v>
      </c>
      <c r="E166" s="26">
        <v>3</v>
      </c>
      <c r="F166" s="24">
        <f t="shared" si="40"/>
        <v>3</v>
      </c>
      <c r="G166" s="26">
        <v>1</v>
      </c>
      <c r="H166" s="24">
        <f t="shared" si="41"/>
        <v>1</v>
      </c>
    </row>
    <row r="167" spans="2:8" x14ac:dyDescent="0.25">
      <c r="B167" s="25" t="s">
        <v>36</v>
      </c>
      <c r="C167" s="26">
        <v>0</v>
      </c>
      <c r="D167" s="30">
        <v>0</v>
      </c>
      <c r="E167" s="26">
        <v>1</v>
      </c>
      <c r="F167" s="24">
        <f t="shared" si="40"/>
        <v>1</v>
      </c>
      <c r="G167" s="26">
        <v>1</v>
      </c>
      <c r="H167" s="24">
        <f t="shared" si="41"/>
        <v>1</v>
      </c>
    </row>
    <row r="168" spans="2:8" x14ac:dyDescent="0.25">
      <c r="B168" s="18" t="s">
        <v>145</v>
      </c>
      <c r="C168" s="26">
        <v>4</v>
      </c>
      <c r="D168" s="30">
        <f>C168</f>
        <v>4</v>
      </c>
      <c r="E168" s="26">
        <v>0</v>
      </c>
      <c r="F168" s="24">
        <f t="shared" si="40"/>
        <v>0</v>
      </c>
      <c r="G168" s="26">
        <v>1</v>
      </c>
      <c r="H168" s="24">
        <f t="shared" si="41"/>
        <v>1</v>
      </c>
    </row>
    <row r="169" spans="2:8" x14ac:dyDescent="0.25">
      <c r="B169" s="25" t="s">
        <v>142</v>
      </c>
      <c r="C169" s="26">
        <v>0</v>
      </c>
      <c r="D169" s="30">
        <v>0</v>
      </c>
      <c r="E169" s="26">
        <v>0</v>
      </c>
      <c r="F169" s="24">
        <v>0</v>
      </c>
      <c r="G169" s="26">
        <v>1</v>
      </c>
      <c r="H169" s="24">
        <v>1</v>
      </c>
    </row>
    <row r="170" spans="2:8" x14ac:dyDescent="0.25">
      <c r="B170" s="25" t="s">
        <v>27</v>
      </c>
      <c r="C170" s="26">
        <v>1</v>
      </c>
      <c r="D170" s="30">
        <f>C170</f>
        <v>1</v>
      </c>
      <c r="E170" s="26">
        <v>2</v>
      </c>
      <c r="F170" s="24">
        <f>E170</f>
        <v>2</v>
      </c>
      <c r="G170" s="26">
        <v>0</v>
      </c>
      <c r="H170" s="24">
        <f t="shared" ref="H170:H178" si="42">G170</f>
        <v>0</v>
      </c>
    </row>
    <row r="171" spans="2:8" x14ac:dyDescent="0.25">
      <c r="B171" s="25" t="s">
        <v>87</v>
      </c>
      <c r="C171" s="26">
        <v>0</v>
      </c>
      <c r="D171" s="30">
        <v>0</v>
      </c>
      <c r="E171" s="26">
        <v>1</v>
      </c>
      <c r="F171" s="24">
        <v>1</v>
      </c>
      <c r="G171" s="26">
        <v>0</v>
      </c>
      <c r="H171" s="24">
        <f t="shared" si="42"/>
        <v>0</v>
      </c>
    </row>
    <row r="172" spans="2:8" x14ac:dyDescent="0.25">
      <c r="B172" s="18" t="s">
        <v>88</v>
      </c>
      <c r="C172" s="26">
        <v>0</v>
      </c>
      <c r="D172" s="30">
        <v>0</v>
      </c>
      <c r="E172" s="26">
        <v>1</v>
      </c>
      <c r="F172" s="24">
        <f t="shared" ref="F172:F178" si="43">E172</f>
        <v>1</v>
      </c>
      <c r="G172" s="26">
        <v>0</v>
      </c>
      <c r="H172" s="24">
        <f t="shared" si="42"/>
        <v>0</v>
      </c>
    </row>
    <row r="173" spans="2:8" x14ac:dyDescent="0.25">
      <c r="B173" s="18" t="s">
        <v>29</v>
      </c>
      <c r="C173" s="26">
        <v>0</v>
      </c>
      <c r="D173" s="30">
        <f>C173</f>
        <v>0</v>
      </c>
      <c r="E173" s="26">
        <v>0</v>
      </c>
      <c r="F173" s="24">
        <f t="shared" si="43"/>
        <v>0</v>
      </c>
      <c r="G173" s="26">
        <v>0</v>
      </c>
      <c r="H173" s="24">
        <f t="shared" si="42"/>
        <v>0</v>
      </c>
    </row>
    <row r="174" spans="2:8" x14ac:dyDescent="0.25">
      <c r="B174" s="25" t="s">
        <v>31</v>
      </c>
      <c r="C174" s="26">
        <v>0</v>
      </c>
      <c r="D174" s="30">
        <v>0</v>
      </c>
      <c r="E174" s="26">
        <v>0</v>
      </c>
      <c r="F174" s="24">
        <f t="shared" si="43"/>
        <v>0</v>
      </c>
      <c r="G174" s="26">
        <v>0</v>
      </c>
      <c r="H174" s="24">
        <f t="shared" si="42"/>
        <v>0</v>
      </c>
    </row>
    <row r="175" spans="2:8" x14ac:dyDescent="0.25">
      <c r="B175" s="18" t="s">
        <v>32</v>
      </c>
      <c r="C175" s="28">
        <v>0</v>
      </c>
      <c r="D175" s="30">
        <v>0</v>
      </c>
      <c r="E175" s="26">
        <v>0</v>
      </c>
      <c r="F175" s="24">
        <f t="shared" si="43"/>
        <v>0</v>
      </c>
      <c r="G175" s="26">
        <v>0</v>
      </c>
      <c r="H175" s="24">
        <f t="shared" si="42"/>
        <v>0</v>
      </c>
    </row>
    <row r="176" spans="2:8" x14ac:dyDescent="0.25">
      <c r="B176" s="25" t="s">
        <v>35</v>
      </c>
      <c r="C176" s="28">
        <v>0</v>
      </c>
      <c r="D176" s="31">
        <v>0</v>
      </c>
      <c r="E176" s="26">
        <v>0</v>
      </c>
      <c r="F176" s="35">
        <f t="shared" si="43"/>
        <v>0</v>
      </c>
      <c r="G176" s="26">
        <v>0</v>
      </c>
      <c r="H176" s="35">
        <f t="shared" si="42"/>
        <v>0</v>
      </c>
    </row>
    <row r="177" spans="2:8" x14ac:dyDescent="0.25">
      <c r="B177" s="41" t="s">
        <v>38</v>
      </c>
      <c r="C177" s="28">
        <v>1</v>
      </c>
      <c r="D177" s="32">
        <f>C177</f>
        <v>1</v>
      </c>
      <c r="E177" s="28">
        <v>0</v>
      </c>
      <c r="F177" s="42">
        <f t="shared" si="43"/>
        <v>0</v>
      </c>
      <c r="G177" s="28">
        <v>0</v>
      </c>
      <c r="H177" s="42">
        <f t="shared" si="42"/>
        <v>0</v>
      </c>
    </row>
    <row r="178" spans="2:8" ht="15.75" thickBot="1" x14ac:dyDescent="0.3">
      <c r="B178" s="27" t="s">
        <v>86</v>
      </c>
      <c r="C178" s="28">
        <v>2</v>
      </c>
      <c r="D178" s="32">
        <f>C178</f>
        <v>2</v>
      </c>
      <c r="E178" s="36">
        <v>0</v>
      </c>
      <c r="F178" s="37">
        <f t="shared" si="43"/>
        <v>0</v>
      </c>
      <c r="G178" s="36">
        <v>0</v>
      </c>
      <c r="H178" s="37">
        <f t="shared" si="42"/>
        <v>0</v>
      </c>
    </row>
    <row r="179" spans="2:8" ht="15.75" thickBot="1" x14ac:dyDescent="0.3">
      <c r="B179" s="17" t="s">
        <v>3</v>
      </c>
      <c r="C179" s="74">
        <f t="shared" ref="C179:E179" si="44">SUM(C162:C178)</f>
        <v>24</v>
      </c>
      <c r="D179" s="76">
        <f t="shared" si="44"/>
        <v>24</v>
      </c>
      <c r="E179" s="58">
        <f t="shared" si="44"/>
        <v>26</v>
      </c>
      <c r="F179" s="83">
        <f>SUM(F162:F178)</f>
        <v>26</v>
      </c>
      <c r="G179" s="16">
        <f t="shared" ref="G179:H179" si="45">SUM(G162:G178)</f>
        <v>20</v>
      </c>
      <c r="H179" s="16">
        <f t="shared" si="45"/>
        <v>20</v>
      </c>
    </row>
    <row r="182" spans="2:8" ht="15.75" thickBot="1" x14ac:dyDescent="0.3"/>
    <row r="183" spans="2:8" ht="15.75" thickBot="1" x14ac:dyDescent="0.3">
      <c r="B183" s="204" t="s">
        <v>60</v>
      </c>
      <c r="C183" s="202" t="s">
        <v>85</v>
      </c>
      <c r="D183" s="203"/>
      <c r="E183" s="194" t="s">
        <v>75</v>
      </c>
      <c r="F183" s="195"/>
      <c r="G183" s="196" t="s">
        <v>77</v>
      </c>
      <c r="H183" s="197"/>
    </row>
    <row r="184" spans="2:8" ht="15.75" thickBot="1" x14ac:dyDescent="0.3">
      <c r="B184" s="205"/>
      <c r="C184" s="74">
        <v>2022</v>
      </c>
      <c r="D184" s="76" t="s">
        <v>3</v>
      </c>
      <c r="E184" s="58">
        <v>2022</v>
      </c>
      <c r="F184" s="59" t="s">
        <v>3</v>
      </c>
      <c r="G184" s="1">
        <v>2023</v>
      </c>
      <c r="H184" s="2" t="s">
        <v>3</v>
      </c>
    </row>
    <row r="185" spans="2:8" x14ac:dyDescent="0.25">
      <c r="B185" s="22" t="s">
        <v>25</v>
      </c>
      <c r="C185" s="23">
        <v>1</v>
      </c>
      <c r="D185" s="30">
        <f>C185</f>
        <v>1</v>
      </c>
      <c r="E185" s="33">
        <v>7</v>
      </c>
      <c r="F185" s="34">
        <f t="shared" ref="F185:F192" si="46">E185</f>
        <v>7</v>
      </c>
      <c r="G185" s="33">
        <v>5</v>
      </c>
      <c r="H185" s="34">
        <f t="shared" ref="H185:H202" si="47">G185</f>
        <v>5</v>
      </c>
    </row>
    <row r="186" spans="2:8" x14ac:dyDescent="0.25">
      <c r="B186" s="25" t="s">
        <v>130</v>
      </c>
      <c r="C186" s="26">
        <v>5</v>
      </c>
      <c r="D186" s="30">
        <f>C186</f>
        <v>5</v>
      </c>
      <c r="E186" s="26">
        <v>3</v>
      </c>
      <c r="F186" s="24">
        <f t="shared" si="46"/>
        <v>3</v>
      </c>
      <c r="G186" s="26">
        <v>3</v>
      </c>
      <c r="H186" s="24">
        <f t="shared" si="47"/>
        <v>3</v>
      </c>
    </row>
    <row r="187" spans="2:8" x14ac:dyDescent="0.25">
      <c r="B187" s="25" t="s">
        <v>145</v>
      </c>
      <c r="C187" s="26">
        <v>4</v>
      </c>
      <c r="D187" s="30">
        <f>C187</f>
        <v>4</v>
      </c>
      <c r="E187" s="26">
        <v>1</v>
      </c>
      <c r="F187" s="24">
        <f t="shared" si="46"/>
        <v>1</v>
      </c>
      <c r="G187" s="26">
        <v>3</v>
      </c>
      <c r="H187" s="24">
        <f t="shared" si="47"/>
        <v>3</v>
      </c>
    </row>
    <row r="188" spans="2:8" x14ac:dyDescent="0.25">
      <c r="B188" s="25" t="s">
        <v>129</v>
      </c>
      <c r="C188" s="26">
        <v>7</v>
      </c>
      <c r="D188" s="30">
        <f>C188</f>
        <v>7</v>
      </c>
      <c r="E188" s="26">
        <v>4</v>
      </c>
      <c r="F188" s="24">
        <f t="shared" si="46"/>
        <v>4</v>
      </c>
      <c r="G188" s="26">
        <v>2</v>
      </c>
      <c r="H188" s="24">
        <f t="shared" si="47"/>
        <v>2</v>
      </c>
    </row>
    <row r="189" spans="2:8" x14ac:dyDescent="0.25">
      <c r="B189" s="25" t="s">
        <v>26</v>
      </c>
      <c r="C189" s="26">
        <v>3</v>
      </c>
      <c r="D189" s="30">
        <f>C189</f>
        <v>3</v>
      </c>
      <c r="E189" s="26">
        <v>2</v>
      </c>
      <c r="F189" s="24">
        <f t="shared" si="46"/>
        <v>2</v>
      </c>
      <c r="G189" s="26">
        <v>1</v>
      </c>
      <c r="H189" s="24">
        <f t="shared" si="47"/>
        <v>1</v>
      </c>
    </row>
    <row r="190" spans="2:8" x14ac:dyDescent="0.25">
      <c r="B190" s="25" t="s">
        <v>33</v>
      </c>
      <c r="C190" s="26">
        <v>0</v>
      </c>
      <c r="D190" s="30">
        <v>0</v>
      </c>
      <c r="E190" s="26">
        <v>0</v>
      </c>
      <c r="F190" s="24">
        <f t="shared" si="46"/>
        <v>0</v>
      </c>
      <c r="G190" s="26">
        <v>1</v>
      </c>
      <c r="H190" s="24">
        <f t="shared" si="47"/>
        <v>1</v>
      </c>
    </row>
    <row r="191" spans="2:8" x14ac:dyDescent="0.25">
      <c r="B191" s="25" t="s">
        <v>28</v>
      </c>
      <c r="C191" s="26">
        <v>0</v>
      </c>
      <c r="D191" s="30">
        <f>C191</f>
        <v>0</v>
      </c>
      <c r="E191" s="26">
        <v>1</v>
      </c>
      <c r="F191" s="24">
        <f t="shared" si="46"/>
        <v>1</v>
      </c>
      <c r="G191" s="26">
        <v>0</v>
      </c>
      <c r="H191" s="24">
        <f t="shared" si="47"/>
        <v>0</v>
      </c>
    </row>
    <row r="192" spans="2:8" x14ac:dyDescent="0.25">
      <c r="B192" s="25" t="s">
        <v>36</v>
      </c>
      <c r="C192" s="26">
        <v>0</v>
      </c>
      <c r="D192" s="30">
        <v>0</v>
      </c>
      <c r="E192" s="26">
        <v>1</v>
      </c>
      <c r="F192" s="24">
        <f t="shared" si="46"/>
        <v>1</v>
      </c>
      <c r="G192" s="26">
        <v>0</v>
      </c>
      <c r="H192" s="24">
        <f t="shared" si="47"/>
        <v>0</v>
      </c>
    </row>
    <row r="193" spans="2:8" x14ac:dyDescent="0.25">
      <c r="B193" s="25" t="s">
        <v>142</v>
      </c>
      <c r="C193" s="26">
        <v>0</v>
      </c>
      <c r="D193" s="30">
        <v>0</v>
      </c>
      <c r="E193" s="26">
        <v>1</v>
      </c>
      <c r="F193" s="24">
        <v>0</v>
      </c>
      <c r="G193" s="26">
        <v>0</v>
      </c>
      <c r="H193" s="24">
        <f t="shared" si="47"/>
        <v>0</v>
      </c>
    </row>
    <row r="194" spans="2:8" x14ac:dyDescent="0.25">
      <c r="B194" s="25" t="s">
        <v>27</v>
      </c>
      <c r="C194" s="26">
        <v>1</v>
      </c>
      <c r="D194" s="30">
        <f>C194</f>
        <v>1</v>
      </c>
      <c r="E194" s="26">
        <v>0</v>
      </c>
      <c r="F194" s="24">
        <f>E194</f>
        <v>0</v>
      </c>
      <c r="G194" s="26">
        <v>0</v>
      </c>
      <c r="H194" s="24">
        <f t="shared" si="47"/>
        <v>0</v>
      </c>
    </row>
    <row r="195" spans="2:8" x14ac:dyDescent="0.25">
      <c r="B195" s="25" t="s">
        <v>87</v>
      </c>
      <c r="C195" s="26">
        <v>0</v>
      </c>
      <c r="D195" s="30">
        <v>0</v>
      </c>
      <c r="E195" s="26">
        <v>0</v>
      </c>
      <c r="F195" s="24">
        <v>1</v>
      </c>
      <c r="G195" s="26">
        <v>0</v>
      </c>
      <c r="H195" s="24">
        <f t="shared" si="47"/>
        <v>0</v>
      </c>
    </row>
    <row r="196" spans="2:8" x14ac:dyDescent="0.25">
      <c r="B196" s="43" t="s">
        <v>88</v>
      </c>
      <c r="C196" s="26">
        <v>0</v>
      </c>
      <c r="D196" s="30">
        <v>0</v>
      </c>
      <c r="E196" s="26">
        <v>0</v>
      </c>
      <c r="F196" s="24">
        <f t="shared" ref="F196:F202" si="48">E196</f>
        <v>0</v>
      </c>
      <c r="G196" s="26">
        <v>0</v>
      </c>
      <c r="H196" s="24">
        <f t="shared" si="47"/>
        <v>0</v>
      </c>
    </row>
    <row r="197" spans="2:8" x14ac:dyDescent="0.25">
      <c r="B197" s="25" t="s">
        <v>29</v>
      </c>
      <c r="C197" s="26">
        <v>0</v>
      </c>
      <c r="D197" s="30">
        <f>C197</f>
        <v>0</v>
      </c>
      <c r="E197" s="26">
        <v>0</v>
      </c>
      <c r="F197" s="24">
        <f t="shared" si="48"/>
        <v>0</v>
      </c>
      <c r="G197" s="26">
        <v>0</v>
      </c>
      <c r="H197" s="24">
        <f t="shared" si="47"/>
        <v>0</v>
      </c>
    </row>
    <row r="198" spans="2:8" x14ac:dyDescent="0.25">
      <c r="B198" s="25" t="s">
        <v>31</v>
      </c>
      <c r="C198" s="26">
        <v>0</v>
      </c>
      <c r="D198" s="30">
        <v>0</v>
      </c>
      <c r="E198" s="26">
        <v>0</v>
      </c>
      <c r="F198" s="24">
        <f t="shared" si="48"/>
        <v>0</v>
      </c>
      <c r="G198" s="26">
        <v>0</v>
      </c>
      <c r="H198" s="24">
        <f t="shared" si="47"/>
        <v>0</v>
      </c>
    </row>
    <row r="199" spans="2:8" x14ac:dyDescent="0.25">
      <c r="B199" s="25" t="s">
        <v>32</v>
      </c>
      <c r="C199" s="28">
        <v>0</v>
      </c>
      <c r="D199" s="30">
        <v>0</v>
      </c>
      <c r="E199" s="26">
        <v>0</v>
      </c>
      <c r="F199" s="24">
        <f t="shared" si="48"/>
        <v>0</v>
      </c>
      <c r="G199" s="26">
        <v>0</v>
      </c>
      <c r="H199" s="24">
        <f t="shared" si="47"/>
        <v>0</v>
      </c>
    </row>
    <row r="200" spans="2:8" x14ac:dyDescent="0.25">
      <c r="B200" s="25" t="s">
        <v>35</v>
      </c>
      <c r="C200" s="28">
        <v>0</v>
      </c>
      <c r="D200" s="31">
        <v>0</v>
      </c>
      <c r="E200" s="26">
        <v>0</v>
      </c>
      <c r="F200" s="35">
        <f t="shared" si="48"/>
        <v>0</v>
      </c>
      <c r="G200" s="26">
        <v>0</v>
      </c>
      <c r="H200" s="35">
        <f t="shared" si="47"/>
        <v>0</v>
      </c>
    </row>
    <row r="201" spans="2:8" x14ac:dyDescent="0.25">
      <c r="B201" s="41" t="s">
        <v>38</v>
      </c>
      <c r="C201" s="28">
        <v>1</v>
      </c>
      <c r="D201" s="32">
        <f>C201</f>
        <v>1</v>
      </c>
      <c r="E201" s="28">
        <v>0</v>
      </c>
      <c r="F201" s="42">
        <f t="shared" si="48"/>
        <v>0</v>
      </c>
      <c r="G201" s="28">
        <v>0</v>
      </c>
      <c r="H201" s="42">
        <f t="shared" si="47"/>
        <v>0</v>
      </c>
    </row>
    <row r="202" spans="2:8" ht="15.75" thickBot="1" x14ac:dyDescent="0.3">
      <c r="B202" s="27" t="s">
        <v>86</v>
      </c>
      <c r="C202" s="28">
        <v>2</v>
      </c>
      <c r="D202" s="32">
        <f>C202</f>
        <v>2</v>
      </c>
      <c r="E202" s="36">
        <v>0</v>
      </c>
      <c r="F202" s="37">
        <f t="shared" si="48"/>
        <v>0</v>
      </c>
      <c r="G202" s="36">
        <v>0</v>
      </c>
      <c r="H202" s="37">
        <f t="shared" si="47"/>
        <v>0</v>
      </c>
    </row>
    <row r="203" spans="2:8" ht="15.75" thickBot="1" x14ac:dyDescent="0.3">
      <c r="B203" s="17" t="s">
        <v>3</v>
      </c>
      <c r="C203" s="74">
        <f t="shared" ref="C203:E203" si="49">SUM(C185:C202)</f>
        <v>24</v>
      </c>
      <c r="D203" s="76">
        <f t="shared" si="49"/>
        <v>24</v>
      </c>
      <c r="E203" s="58">
        <f t="shared" si="49"/>
        <v>20</v>
      </c>
      <c r="F203" s="83">
        <f>SUM(F185:F202)</f>
        <v>20</v>
      </c>
      <c r="G203" s="16">
        <f t="shared" ref="G203:H203" si="50">SUM(G185:G202)</f>
        <v>15</v>
      </c>
      <c r="H203" s="16">
        <f t="shared" si="50"/>
        <v>15</v>
      </c>
    </row>
    <row r="205" spans="2:8" ht="15.75" thickBot="1" x14ac:dyDescent="0.3"/>
    <row r="206" spans="2:8" ht="15.75" thickBot="1" x14ac:dyDescent="0.3">
      <c r="B206" s="204" t="s">
        <v>60</v>
      </c>
      <c r="C206" s="202" t="s">
        <v>85</v>
      </c>
      <c r="D206" s="203"/>
      <c r="E206" s="194" t="s">
        <v>77</v>
      </c>
      <c r="F206" s="195"/>
      <c r="G206" s="196" t="s">
        <v>78</v>
      </c>
      <c r="H206" s="197"/>
    </row>
    <row r="207" spans="2:8" ht="15.75" thickBot="1" x14ac:dyDescent="0.3">
      <c r="B207" s="205"/>
      <c r="C207" s="74">
        <v>2022</v>
      </c>
      <c r="D207" s="76" t="s">
        <v>3</v>
      </c>
      <c r="E207" s="58">
        <v>2022</v>
      </c>
      <c r="F207" s="59" t="s">
        <v>3</v>
      </c>
      <c r="G207" s="1">
        <v>2023</v>
      </c>
      <c r="H207" s="2" t="s">
        <v>3</v>
      </c>
    </row>
    <row r="208" spans="2:8" x14ac:dyDescent="0.25">
      <c r="B208" s="22" t="s">
        <v>130</v>
      </c>
      <c r="C208" s="23">
        <v>5</v>
      </c>
      <c r="D208" s="30">
        <f>C208</f>
        <v>5</v>
      </c>
      <c r="E208" s="33">
        <v>3</v>
      </c>
      <c r="F208" s="34">
        <f t="shared" ref="F208:F225" si="51">E208</f>
        <v>3</v>
      </c>
      <c r="G208" s="33">
        <v>6</v>
      </c>
      <c r="H208" s="34">
        <f t="shared" ref="H208:H225" si="52">G208</f>
        <v>6</v>
      </c>
    </row>
    <row r="209" spans="2:8" x14ac:dyDescent="0.25">
      <c r="B209" s="25" t="s">
        <v>129</v>
      </c>
      <c r="C209" s="26">
        <v>7</v>
      </c>
      <c r="D209" s="30">
        <f>C209</f>
        <v>7</v>
      </c>
      <c r="E209" s="26">
        <v>2</v>
      </c>
      <c r="F209" s="24">
        <f t="shared" si="51"/>
        <v>2</v>
      </c>
      <c r="G209" s="26">
        <v>4</v>
      </c>
      <c r="H209" s="24">
        <f t="shared" si="52"/>
        <v>4</v>
      </c>
    </row>
    <row r="210" spans="2:8" x14ac:dyDescent="0.25">
      <c r="B210" s="25" t="s">
        <v>27</v>
      </c>
      <c r="C210" s="26">
        <v>1</v>
      </c>
      <c r="D210" s="30">
        <f>C210</f>
        <v>1</v>
      </c>
      <c r="E210" s="26">
        <v>0</v>
      </c>
      <c r="F210" s="24">
        <f t="shared" si="51"/>
        <v>0</v>
      </c>
      <c r="G210" s="26">
        <v>3</v>
      </c>
      <c r="H210" s="24">
        <f t="shared" si="52"/>
        <v>3</v>
      </c>
    </row>
    <row r="211" spans="2:8" x14ac:dyDescent="0.25">
      <c r="B211" s="25" t="s">
        <v>25</v>
      </c>
      <c r="C211" s="26">
        <v>1</v>
      </c>
      <c r="D211" s="30">
        <f>C211</f>
        <v>1</v>
      </c>
      <c r="E211" s="26">
        <v>5</v>
      </c>
      <c r="F211" s="24">
        <f t="shared" si="51"/>
        <v>5</v>
      </c>
      <c r="G211" s="26">
        <v>2</v>
      </c>
      <c r="H211" s="24">
        <f t="shared" si="52"/>
        <v>2</v>
      </c>
    </row>
    <row r="212" spans="2:8" x14ac:dyDescent="0.25">
      <c r="B212" s="25" t="s">
        <v>145</v>
      </c>
      <c r="C212" s="26">
        <v>4</v>
      </c>
      <c r="D212" s="30">
        <f>C212</f>
        <v>4</v>
      </c>
      <c r="E212" s="26">
        <v>3</v>
      </c>
      <c r="F212" s="24">
        <f t="shared" si="51"/>
        <v>3</v>
      </c>
      <c r="G212" s="26">
        <v>2</v>
      </c>
      <c r="H212" s="24">
        <f t="shared" si="52"/>
        <v>2</v>
      </c>
    </row>
    <row r="213" spans="2:8" x14ac:dyDescent="0.25">
      <c r="B213" s="25" t="s">
        <v>33</v>
      </c>
      <c r="C213" s="26">
        <v>0</v>
      </c>
      <c r="D213" s="30">
        <v>0</v>
      </c>
      <c r="E213" s="26">
        <v>1</v>
      </c>
      <c r="F213" s="24">
        <f t="shared" si="51"/>
        <v>1</v>
      </c>
      <c r="G213" s="26">
        <v>1</v>
      </c>
      <c r="H213" s="24">
        <f t="shared" si="52"/>
        <v>1</v>
      </c>
    </row>
    <row r="214" spans="2:8" x14ac:dyDescent="0.25">
      <c r="B214" s="25" t="s">
        <v>31</v>
      </c>
      <c r="C214" s="26">
        <v>0</v>
      </c>
      <c r="D214" s="30">
        <v>0</v>
      </c>
      <c r="E214" s="26">
        <v>0</v>
      </c>
      <c r="F214" s="24">
        <f t="shared" si="51"/>
        <v>0</v>
      </c>
      <c r="G214" s="26">
        <v>1</v>
      </c>
      <c r="H214" s="24">
        <f t="shared" si="52"/>
        <v>1</v>
      </c>
    </row>
    <row r="215" spans="2:8" x14ac:dyDescent="0.25">
      <c r="B215" s="25" t="s">
        <v>26</v>
      </c>
      <c r="C215" s="26">
        <v>3</v>
      </c>
      <c r="D215" s="30">
        <f>C215</f>
        <v>3</v>
      </c>
      <c r="E215" s="26">
        <v>1</v>
      </c>
      <c r="F215" s="24">
        <f t="shared" si="51"/>
        <v>1</v>
      </c>
      <c r="G215" s="26">
        <v>0</v>
      </c>
      <c r="H215" s="24">
        <f t="shared" si="52"/>
        <v>0</v>
      </c>
    </row>
    <row r="216" spans="2:8" x14ac:dyDescent="0.25">
      <c r="B216" s="25" t="s">
        <v>28</v>
      </c>
      <c r="C216" s="26">
        <v>0</v>
      </c>
      <c r="D216" s="30">
        <f>C216</f>
        <v>0</v>
      </c>
      <c r="E216" s="26">
        <v>0</v>
      </c>
      <c r="F216" s="24">
        <f t="shared" si="51"/>
        <v>0</v>
      </c>
      <c r="G216" s="26">
        <v>0</v>
      </c>
      <c r="H216" s="24">
        <f t="shared" si="52"/>
        <v>0</v>
      </c>
    </row>
    <row r="217" spans="2:8" x14ac:dyDescent="0.25">
      <c r="B217" s="25" t="s">
        <v>36</v>
      </c>
      <c r="C217" s="26">
        <v>0</v>
      </c>
      <c r="D217" s="30">
        <v>0</v>
      </c>
      <c r="E217" s="26">
        <v>0</v>
      </c>
      <c r="F217" s="24">
        <f t="shared" si="51"/>
        <v>0</v>
      </c>
      <c r="G217" s="26">
        <v>0</v>
      </c>
      <c r="H217" s="24">
        <f t="shared" si="52"/>
        <v>0</v>
      </c>
    </row>
    <row r="218" spans="2:8" x14ac:dyDescent="0.25">
      <c r="B218" s="25" t="s">
        <v>142</v>
      </c>
      <c r="C218" s="26">
        <v>0</v>
      </c>
      <c r="D218" s="30">
        <v>0</v>
      </c>
      <c r="E218" s="26">
        <v>0</v>
      </c>
      <c r="F218" s="24">
        <f t="shared" si="51"/>
        <v>0</v>
      </c>
      <c r="G218" s="26">
        <v>0</v>
      </c>
      <c r="H218" s="24">
        <f t="shared" si="52"/>
        <v>0</v>
      </c>
    </row>
    <row r="219" spans="2:8" x14ac:dyDescent="0.25">
      <c r="B219" s="43" t="s">
        <v>87</v>
      </c>
      <c r="C219" s="26">
        <v>0</v>
      </c>
      <c r="D219" s="30">
        <v>0</v>
      </c>
      <c r="E219" s="26">
        <v>0</v>
      </c>
      <c r="F219" s="24">
        <f t="shared" si="51"/>
        <v>0</v>
      </c>
      <c r="G219" s="26">
        <v>0</v>
      </c>
      <c r="H219" s="24">
        <f t="shared" si="52"/>
        <v>0</v>
      </c>
    </row>
    <row r="220" spans="2:8" x14ac:dyDescent="0.25">
      <c r="B220" s="25" t="s">
        <v>88</v>
      </c>
      <c r="C220" s="26">
        <v>0</v>
      </c>
      <c r="D220" s="30">
        <v>0</v>
      </c>
      <c r="E220" s="26">
        <v>0</v>
      </c>
      <c r="F220" s="24">
        <f t="shared" si="51"/>
        <v>0</v>
      </c>
      <c r="G220" s="26">
        <v>0</v>
      </c>
      <c r="H220" s="24">
        <f t="shared" si="52"/>
        <v>0</v>
      </c>
    </row>
    <row r="221" spans="2:8" x14ac:dyDescent="0.25">
      <c r="B221" s="25" t="s">
        <v>29</v>
      </c>
      <c r="C221" s="26">
        <v>0</v>
      </c>
      <c r="D221" s="30">
        <f>C221</f>
        <v>0</v>
      </c>
      <c r="E221" s="26">
        <v>0</v>
      </c>
      <c r="F221" s="24">
        <f t="shared" si="51"/>
        <v>0</v>
      </c>
      <c r="G221" s="26">
        <v>0</v>
      </c>
      <c r="H221" s="24">
        <f t="shared" si="52"/>
        <v>0</v>
      </c>
    </row>
    <row r="222" spans="2:8" x14ac:dyDescent="0.25">
      <c r="B222" s="25" t="s">
        <v>32</v>
      </c>
      <c r="C222" s="28">
        <v>0</v>
      </c>
      <c r="D222" s="30">
        <v>0</v>
      </c>
      <c r="E222" s="26">
        <v>0</v>
      </c>
      <c r="F222" s="24">
        <f t="shared" si="51"/>
        <v>0</v>
      </c>
      <c r="G222" s="26">
        <v>0</v>
      </c>
      <c r="H222" s="24">
        <f t="shared" si="52"/>
        <v>0</v>
      </c>
    </row>
    <row r="223" spans="2:8" x14ac:dyDescent="0.25">
      <c r="B223" s="25" t="s">
        <v>35</v>
      </c>
      <c r="C223" s="28">
        <v>0</v>
      </c>
      <c r="D223" s="31">
        <v>0</v>
      </c>
      <c r="E223" s="26">
        <v>0</v>
      </c>
      <c r="F223" s="24">
        <f t="shared" si="51"/>
        <v>0</v>
      </c>
      <c r="G223" s="26">
        <v>0</v>
      </c>
      <c r="H223" s="35">
        <f t="shared" si="52"/>
        <v>0</v>
      </c>
    </row>
    <row r="224" spans="2:8" x14ac:dyDescent="0.25">
      <c r="B224" s="41" t="s">
        <v>38</v>
      </c>
      <c r="C224" s="28">
        <v>1</v>
      </c>
      <c r="D224" s="32">
        <f>C224</f>
        <v>1</v>
      </c>
      <c r="E224" s="28">
        <v>0</v>
      </c>
      <c r="F224" s="24">
        <f t="shared" si="51"/>
        <v>0</v>
      </c>
      <c r="G224" s="28">
        <v>0</v>
      </c>
      <c r="H224" s="42">
        <f t="shared" si="52"/>
        <v>0</v>
      </c>
    </row>
    <row r="225" spans="2:8" ht="15.75" thickBot="1" x14ac:dyDescent="0.3">
      <c r="B225" s="27" t="s">
        <v>86</v>
      </c>
      <c r="C225" s="28">
        <v>2</v>
      </c>
      <c r="D225" s="32">
        <f>C225</f>
        <v>2</v>
      </c>
      <c r="E225" s="36">
        <v>0</v>
      </c>
      <c r="F225" s="24">
        <f t="shared" si="51"/>
        <v>0</v>
      </c>
      <c r="G225" s="36">
        <v>0</v>
      </c>
      <c r="H225" s="37">
        <f t="shared" si="52"/>
        <v>0</v>
      </c>
    </row>
    <row r="226" spans="2:8" ht="15.75" thickBot="1" x14ac:dyDescent="0.3">
      <c r="B226" s="17" t="s">
        <v>3</v>
      </c>
      <c r="C226" s="74">
        <f t="shared" ref="C226:E226" si="53">SUM(C208:C225)</f>
        <v>24</v>
      </c>
      <c r="D226" s="76">
        <f t="shared" si="53"/>
        <v>24</v>
      </c>
      <c r="E226" s="58">
        <f t="shared" si="53"/>
        <v>15</v>
      </c>
      <c r="F226" s="83">
        <f>SUM(F208:F225)</f>
        <v>15</v>
      </c>
      <c r="G226" s="16">
        <f t="shared" ref="G226:H226" si="54">SUM(G208:G225)</f>
        <v>19</v>
      </c>
      <c r="H226" s="16">
        <f t="shared" si="54"/>
        <v>19</v>
      </c>
    </row>
    <row r="228" spans="2:8" ht="15.75" thickBot="1" x14ac:dyDescent="0.3"/>
    <row r="229" spans="2:8" ht="15.75" thickBot="1" x14ac:dyDescent="0.3">
      <c r="B229" s="204" t="s">
        <v>60</v>
      </c>
      <c r="C229" s="202" t="s">
        <v>85</v>
      </c>
      <c r="D229" s="203"/>
      <c r="E229" s="194" t="s">
        <v>78</v>
      </c>
      <c r="F229" s="195"/>
      <c r="G229" s="196" t="s">
        <v>79</v>
      </c>
      <c r="H229" s="197"/>
    </row>
    <row r="230" spans="2:8" ht="15.75" thickBot="1" x14ac:dyDescent="0.3">
      <c r="B230" s="205"/>
      <c r="C230" s="74">
        <v>2022</v>
      </c>
      <c r="D230" s="76" t="s">
        <v>3</v>
      </c>
      <c r="E230" s="58">
        <v>2023</v>
      </c>
      <c r="F230" s="59" t="s">
        <v>3</v>
      </c>
      <c r="G230" s="1">
        <v>2023</v>
      </c>
      <c r="H230" s="2" t="s">
        <v>3</v>
      </c>
    </row>
    <row r="231" spans="2:8" x14ac:dyDescent="0.25">
      <c r="B231" s="22" t="s">
        <v>130</v>
      </c>
      <c r="C231" s="23">
        <v>5</v>
      </c>
      <c r="D231" s="30">
        <f t="shared" ref="D231:D236" si="55">C231</f>
        <v>5</v>
      </c>
      <c r="E231" s="33">
        <v>6</v>
      </c>
      <c r="F231" s="34">
        <f t="shared" ref="F231:F248" si="56">E231</f>
        <v>6</v>
      </c>
      <c r="G231" s="33">
        <v>6</v>
      </c>
      <c r="H231" s="34">
        <f t="shared" ref="H231:H248" si="57">G231</f>
        <v>6</v>
      </c>
    </row>
    <row r="232" spans="2:8" x14ac:dyDescent="0.25">
      <c r="B232" s="25" t="s">
        <v>145</v>
      </c>
      <c r="C232" s="26">
        <v>4</v>
      </c>
      <c r="D232" s="30">
        <f t="shared" si="55"/>
        <v>4</v>
      </c>
      <c r="E232" s="26">
        <v>2</v>
      </c>
      <c r="F232" s="24">
        <f t="shared" si="56"/>
        <v>2</v>
      </c>
      <c r="G232" s="26">
        <v>3</v>
      </c>
      <c r="H232" s="24">
        <f t="shared" si="57"/>
        <v>3</v>
      </c>
    </row>
    <row r="233" spans="2:8" x14ac:dyDescent="0.25">
      <c r="B233" s="25" t="s">
        <v>129</v>
      </c>
      <c r="C233" s="26">
        <v>7</v>
      </c>
      <c r="D233" s="30">
        <f t="shared" si="55"/>
        <v>7</v>
      </c>
      <c r="E233" s="26">
        <v>4</v>
      </c>
      <c r="F233" s="24">
        <f t="shared" si="56"/>
        <v>4</v>
      </c>
      <c r="G233" s="26">
        <v>2</v>
      </c>
      <c r="H233" s="24">
        <f t="shared" si="57"/>
        <v>2</v>
      </c>
    </row>
    <row r="234" spans="2:8" x14ac:dyDescent="0.25">
      <c r="B234" s="25" t="s">
        <v>25</v>
      </c>
      <c r="C234" s="26">
        <v>1</v>
      </c>
      <c r="D234" s="30">
        <f t="shared" si="55"/>
        <v>1</v>
      </c>
      <c r="E234" s="26">
        <v>2</v>
      </c>
      <c r="F234" s="24">
        <f t="shared" si="56"/>
        <v>2</v>
      </c>
      <c r="G234" s="26">
        <v>2</v>
      </c>
      <c r="H234" s="24">
        <f t="shared" si="57"/>
        <v>2</v>
      </c>
    </row>
    <row r="235" spans="2:8" x14ac:dyDescent="0.25">
      <c r="B235" s="25" t="s">
        <v>28</v>
      </c>
      <c r="C235" s="26">
        <v>0</v>
      </c>
      <c r="D235" s="30">
        <f t="shared" si="55"/>
        <v>0</v>
      </c>
      <c r="E235" s="26">
        <v>0</v>
      </c>
      <c r="F235" s="24">
        <f t="shared" si="56"/>
        <v>0</v>
      </c>
      <c r="G235" s="26">
        <v>2</v>
      </c>
      <c r="H235" s="24">
        <f t="shared" si="57"/>
        <v>2</v>
      </c>
    </row>
    <row r="236" spans="2:8" x14ac:dyDescent="0.25">
      <c r="B236" s="25" t="s">
        <v>27</v>
      </c>
      <c r="C236" s="26">
        <v>1</v>
      </c>
      <c r="D236" s="30">
        <f t="shared" si="55"/>
        <v>1</v>
      </c>
      <c r="E236" s="26">
        <v>3</v>
      </c>
      <c r="F236" s="24">
        <f t="shared" si="56"/>
        <v>3</v>
      </c>
      <c r="G236" s="26">
        <v>1</v>
      </c>
      <c r="H236" s="24">
        <f t="shared" si="57"/>
        <v>1</v>
      </c>
    </row>
    <row r="237" spans="2:8" x14ac:dyDescent="0.25">
      <c r="B237" s="25" t="s">
        <v>31</v>
      </c>
      <c r="C237" s="26">
        <v>0</v>
      </c>
      <c r="D237" s="30">
        <v>0</v>
      </c>
      <c r="E237" s="26">
        <v>1</v>
      </c>
      <c r="F237" s="24">
        <f t="shared" si="56"/>
        <v>1</v>
      </c>
      <c r="G237" s="26">
        <v>1</v>
      </c>
      <c r="H237" s="24">
        <f t="shared" si="57"/>
        <v>1</v>
      </c>
    </row>
    <row r="238" spans="2:8" x14ac:dyDescent="0.25">
      <c r="B238" s="25" t="s">
        <v>29</v>
      </c>
      <c r="C238" s="26">
        <v>0</v>
      </c>
      <c r="D238" s="30">
        <f>C238</f>
        <v>0</v>
      </c>
      <c r="E238" s="26">
        <v>0</v>
      </c>
      <c r="F238" s="24">
        <f t="shared" si="56"/>
        <v>0</v>
      </c>
      <c r="G238" s="26">
        <v>1</v>
      </c>
      <c r="H238" s="24">
        <f t="shared" si="57"/>
        <v>1</v>
      </c>
    </row>
    <row r="239" spans="2:8" x14ac:dyDescent="0.25">
      <c r="B239" s="25" t="s">
        <v>33</v>
      </c>
      <c r="C239" s="26">
        <v>0</v>
      </c>
      <c r="D239" s="30">
        <v>0</v>
      </c>
      <c r="E239" s="26">
        <v>1</v>
      </c>
      <c r="F239" s="24">
        <f t="shared" si="56"/>
        <v>1</v>
      </c>
      <c r="G239" s="26">
        <v>0</v>
      </c>
      <c r="H239" s="24">
        <f t="shared" si="57"/>
        <v>0</v>
      </c>
    </row>
    <row r="240" spans="2:8" x14ac:dyDescent="0.25">
      <c r="B240" s="25" t="s">
        <v>26</v>
      </c>
      <c r="C240" s="26">
        <v>3</v>
      </c>
      <c r="D240" s="30">
        <f>C240</f>
        <v>3</v>
      </c>
      <c r="E240" s="26">
        <v>0</v>
      </c>
      <c r="F240" s="24">
        <f t="shared" si="56"/>
        <v>0</v>
      </c>
      <c r="G240" s="26">
        <v>0</v>
      </c>
      <c r="H240" s="24">
        <f t="shared" si="57"/>
        <v>0</v>
      </c>
    </row>
    <row r="241" spans="2:8" x14ac:dyDescent="0.25">
      <c r="B241" s="25" t="s">
        <v>36</v>
      </c>
      <c r="C241" s="26">
        <v>0</v>
      </c>
      <c r="D241" s="30">
        <v>0</v>
      </c>
      <c r="E241" s="26">
        <v>0</v>
      </c>
      <c r="F241" s="24">
        <f t="shared" si="56"/>
        <v>0</v>
      </c>
      <c r="G241" s="26">
        <v>0</v>
      </c>
      <c r="H241" s="24">
        <f t="shared" si="57"/>
        <v>0</v>
      </c>
    </row>
    <row r="242" spans="2:8" x14ac:dyDescent="0.25">
      <c r="B242" s="50" t="s">
        <v>142</v>
      </c>
      <c r="C242" s="26">
        <v>0</v>
      </c>
      <c r="D242" s="30">
        <v>0</v>
      </c>
      <c r="E242" s="26">
        <v>0</v>
      </c>
      <c r="F242" s="24">
        <f t="shared" si="56"/>
        <v>0</v>
      </c>
      <c r="G242" s="26">
        <v>0</v>
      </c>
      <c r="H242" s="24">
        <f t="shared" si="57"/>
        <v>0</v>
      </c>
    </row>
    <row r="243" spans="2:8" x14ac:dyDescent="0.25">
      <c r="B243" s="25" t="s">
        <v>87</v>
      </c>
      <c r="C243" s="26">
        <v>0</v>
      </c>
      <c r="D243" s="30">
        <v>0</v>
      </c>
      <c r="E243" s="26">
        <v>0</v>
      </c>
      <c r="F243" s="24">
        <f t="shared" si="56"/>
        <v>0</v>
      </c>
      <c r="G243" s="26">
        <v>0</v>
      </c>
      <c r="H243" s="24">
        <f t="shared" si="57"/>
        <v>0</v>
      </c>
    </row>
    <row r="244" spans="2:8" x14ac:dyDescent="0.25">
      <c r="B244" s="25" t="s">
        <v>88</v>
      </c>
      <c r="C244" s="26">
        <v>0</v>
      </c>
      <c r="D244" s="30">
        <v>0</v>
      </c>
      <c r="E244" s="26">
        <v>0</v>
      </c>
      <c r="F244" s="24">
        <f t="shared" si="56"/>
        <v>0</v>
      </c>
      <c r="G244" s="26">
        <v>0</v>
      </c>
      <c r="H244" s="24">
        <f t="shared" si="57"/>
        <v>0</v>
      </c>
    </row>
    <row r="245" spans="2:8" x14ac:dyDescent="0.25">
      <c r="B245" s="25" t="s">
        <v>32</v>
      </c>
      <c r="C245" s="28">
        <v>0</v>
      </c>
      <c r="D245" s="30">
        <v>0</v>
      </c>
      <c r="E245" s="26">
        <v>0</v>
      </c>
      <c r="F245" s="24">
        <f t="shared" si="56"/>
        <v>0</v>
      </c>
      <c r="G245" s="26">
        <v>0</v>
      </c>
      <c r="H245" s="24">
        <f t="shared" si="57"/>
        <v>0</v>
      </c>
    </row>
    <row r="246" spans="2:8" x14ac:dyDescent="0.25">
      <c r="B246" s="25" t="s">
        <v>35</v>
      </c>
      <c r="C246" s="28">
        <v>0</v>
      </c>
      <c r="D246" s="31">
        <v>0</v>
      </c>
      <c r="E246" s="26">
        <v>0</v>
      </c>
      <c r="F246" s="24">
        <f t="shared" si="56"/>
        <v>0</v>
      </c>
      <c r="G246" s="26">
        <v>0</v>
      </c>
      <c r="H246" s="35">
        <f t="shared" si="57"/>
        <v>0</v>
      </c>
    </row>
    <row r="247" spans="2:8" x14ac:dyDescent="0.25">
      <c r="B247" s="41" t="s">
        <v>38</v>
      </c>
      <c r="C247" s="28">
        <v>1</v>
      </c>
      <c r="D247" s="32">
        <f>C247</f>
        <v>1</v>
      </c>
      <c r="E247" s="28">
        <v>0</v>
      </c>
      <c r="F247" s="24">
        <f t="shared" si="56"/>
        <v>0</v>
      </c>
      <c r="G247" s="28">
        <v>0</v>
      </c>
      <c r="H247" s="42">
        <f t="shared" si="57"/>
        <v>0</v>
      </c>
    </row>
    <row r="248" spans="2:8" ht="15.75" thickBot="1" x14ac:dyDescent="0.3">
      <c r="B248" s="27" t="s">
        <v>86</v>
      </c>
      <c r="C248" s="28">
        <v>2</v>
      </c>
      <c r="D248" s="32">
        <f>C248</f>
        <v>2</v>
      </c>
      <c r="E248" s="36">
        <v>0</v>
      </c>
      <c r="F248" s="24">
        <f t="shared" si="56"/>
        <v>0</v>
      </c>
      <c r="G248" s="36">
        <v>0</v>
      </c>
      <c r="H248" s="37">
        <f t="shared" si="57"/>
        <v>0</v>
      </c>
    </row>
    <row r="249" spans="2:8" ht="15.75" thickBot="1" x14ac:dyDescent="0.3">
      <c r="B249" s="17" t="s">
        <v>3</v>
      </c>
      <c r="C249" s="74">
        <f t="shared" ref="C249:E249" si="58">SUM(C231:C248)</f>
        <v>24</v>
      </c>
      <c r="D249" s="76">
        <f t="shared" si="58"/>
        <v>24</v>
      </c>
      <c r="E249" s="58">
        <f t="shared" si="58"/>
        <v>19</v>
      </c>
      <c r="F249" s="83">
        <f>SUM(F231:F248)</f>
        <v>19</v>
      </c>
      <c r="G249" s="16">
        <f t="shared" ref="G249:H249" si="59">SUM(G231:G248)</f>
        <v>18</v>
      </c>
      <c r="H249" s="16">
        <f t="shared" si="59"/>
        <v>18</v>
      </c>
    </row>
    <row r="252" spans="2:8" ht="15.75" thickBot="1" x14ac:dyDescent="0.3"/>
    <row r="253" spans="2:8" ht="15.75" thickBot="1" x14ac:dyDescent="0.3">
      <c r="B253" s="204" t="s">
        <v>60</v>
      </c>
      <c r="C253" s="202" t="s">
        <v>85</v>
      </c>
      <c r="D253" s="203"/>
      <c r="E253" s="194" t="s">
        <v>79</v>
      </c>
      <c r="F253" s="195"/>
      <c r="G253" s="196" t="s">
        <v>80</v>
      </c>
      <c r="H253" s="197"/>
    </row>
    <row r="254" spans="2:8" ht="15.75" thickBot="1" x14ac:dyDescent="0.3">
      <c r="B254" s="205"/>
      <c r="C254" s="74">
        <v>2022</v>
      </c>
      <c r="D254" s="76" t="s">
        <v>3</v>
      </c>
      <c r="E254" s="58">
        <v>2023</v>
      </c>
      <c r="F254" s="59" t="s">
        <v>3</v>
      </c>
      <c r="G254" s="1">
        <v>2023</v>
      </c>
      <c r="H254" s="2" t="s">
        <v>3</v>
      </c>
    </row>
    <row r="255" spans="2:8" x14ac:dyDescent="0.25">
      <c r="B255" s="22" t="s">
        <v>130</v>
      </c>
      <c r="C255" s="23">
        <v>5</v>
      </c>
      <c r="D255" s="30">
        <f>C255</f>
        <v>5</v>
      </c>
      <c r="E255" s="33">
        <v>6</v>
      </c>
      <c r="F255" s="34">
        <f t="shared" ref="F255:F272" si="60">E255</f>
        <v>6</v>
      </c>
      <c r="G255" s="33">
        <v>6</v>
      </c>
      <c r="H255" s="34">
        <f t="shared" ref="H255:H272" si="61">G255</f>
        <v>6</v>
      </c>
    </row>
    <row r="256" spans="2:8" x14ac:dyDescent="0.25">
      <c r="B256" s="25" t="s">
        <v>27</v>
      </c>
      <c r="C256" s="26">
        <v>1</v>
      </c>
      <c r="D256" s="30">
        <f>C256</f>
        <v>1</v>
      </c>
      <c r="E256" s="26">
        <v>1</v>
      </c>
      <c r="F256" s="24">
        <f t="shared" si="60"/>
        <v>1</v>
      </c>
      <c r="G256" s="26">
        <v>4</v>
      </c>
      <c r="H256" s="24">
        <f t="shared" si="61"/>
        <v>4</v>
      </c>
    </row>
    <row r="257" spans="2:8" x14ac:dyDescent="0.25">
      <c r="B257" s="25" t="s">
        <v>145</v>
      </c>
      <c r="C257" s="26">
        <v>4</v>
      </c>
      <c r="D257" s="30">
        <f>C257</f>
        <v>4</v>
      </c>
      <c r="E257" s="26">
        <v>3</v>
      </c>
      <c r="F257" s="24">
        <f t="shared" si="60"/>
        <v>3</v>
      </c>
      <c r="G257" s="26">
        <v>3</v>
      </c>
      <c r="H257" s="24">
        <f t="shared" si="61"/>
        <v>3</v>
      </c>
    </row>
    <row r="258" spans="2:8" x14ac:dyDescent="0.25">
      <c r="B258" s="25" t="s">
        <v>129</v>
      </c>
      <c r="C258" s="26">
        <v>7</v>
      </c>
      <c r="D258" s="30">
        <f>C258</f>
        <v>7</v>
      </c>
      <c r="E258" s="26">
        <v>2</v>
      </c>
      <c r="F258" s="24">
        <f t="shared" si="60"/>
        <v>2</v>
      </c>
      <c r="G258" s="26">
        <v>3</v>
      </c>
      <c r="H258" s="24">
        <f t="shared" si="61"/>
        <v>3</v>
      </c>
    </row>
    <row r="259" spans="2:8" x14ac:dyDescent="0.25">
      <c r="B259" s="25" t="s">
        <v>25</v>
      </c>
      <c r="C259" s="26">
        <v>1</v>
      </c>
      <c r="D259" s="30">
        <f>C259</f>
        <v>1</v>
      </c>
      <c r="E259" s="26">
        <v>2</v>
      </c>
      <c r="F259" s="24">
        <f t="shared" si="60"/>
        <v>2</v>
      </c>
      <c r="G259" s="26">
        <v>2</v>
      </c>
      <c r="H259" s="24">
        <f t="shared" si="61"/>
        <v>2</v>
      </c>
    </row>
    <row r="260" spans="2:8" x14ac:dyDescent="0.25">
      <c r="B260" s="25" t="s">
        <v>31</v>
      </c>
      <c r="C260" s="26">
        <v>0</v>
      </c>
      <c r="D260" s="30">
        <v>0</v>
      </c>
      <c r="E260" s="26">
        <v>1</v>
      </c>
      <c r="F260" s="24">
        <f t="shared" si="60"/>
        <v>1</v>
      </c>
      <c r="G260" s="26">
        <v>2</v>
      </c>
      <c r="H260" s="24">
        <f t="shared" si="61"/>
        <v>2</v>
      </c>
    </row>
    <row r="261" spans="2:8" x14ac:dyDescent="0.25">
      <c r="B261" s="25" t="s">
        <v>86</v>
      </c>
      <c r="C261" s="26">
        <v>2</v>
      </c>
      <c r="D261" s="30">
        <f>C261</f>
        <v>2</v>
      </c>
      <c r="E261" s="26">
        <v>0</v>
      </c>
      <c r="F261" s="24">
        <f t="shared" si="60"/>
        <v>0</v>
      </c>
      <c r="G261" s="26">
        <v>1</v>
      </c>
      <c r="H261" s="24">
        <f t="shared" si="61"/>
        <v>1</v>
      </c>
    </row>
    <row r="262" spans="2:8" x14ac:dyDescent="0.25">
      <c r="B262" s="25" t="s">
        <v>28</v>
      </c>
      <c r="C262" s="26">
        <v>0</v>
      </c>
      <c r="D262" s="30">
        <f>C262</f>
        <v>0</v>
      </c>
      <c r="E262" s="26">
        <v>2</v>
      </c>
      <c r="F262" s="24">
        <f t="shared" si="60"/>
        <v>2</v>
      </c>
      <c r="G262" s="26">
        <v>0</v>
      </c>
      <c r="H262" s="24">
        <f t="shared" si="61"/>
        <v>0</v>
      </c>
    </row>
    <row r="263" spans="2:8" x14ac:dyDescent="0.25">
      <c r="B263" s="25" t="s">
        <v>29</v>
      </c>
      <c r="C263" s="26">
        <v>0</v>
      </c>
      <c r="D263" s="30">
        <f>C263</f>
        <v>0</v>
      </c>
      <c r="E263" s="26">
        <v>1</v>
      </c>
      <c r="F263" s="24">
        <f t="shared" si="60"/>
        <v>1</v>
      </c>
      <c r="G263" s="26">
        <v>0</v>
      </c>
      <c r="H263" s="24">
        <f t="shared" si="61"/>
        <v>0</v>
      </c>
    </row>
    <row r="264" spans="2:8" x14ac:dyDescent="0.25">
      <c r="B264" s="25" t="s">
        <v>33</v>
      </c>
      <c r="C264" s="26">
        <v>0</v>
      </c>
      <c r="D264" s="30">
        <v>0</v>
      </c>
      <c r="E264" s="26">
        <v>0</v>
      </c>
      <c r="F264" s="24">
        <f t="shared" si="60"/>
        <v>0</v>
      </c>
      <c r="G264" s="26">
        <v>0</v>
      </c>
      <c r="H264" s="24">
        <f t="shared" si="61"/>
        <v>0</v>
      </c>
    </row>
    <row r="265" spans="2:8" x14ac:dyDescent="0.25">
      <c r="B265" s="25" t="s">
        <v>26</v>
      </c>
      <c r="C265" s="26">
        <v>3</v>
      </c>
      <c r="D265" s="30">
        <f>C265</f>
        <v>3</v>
      </c>
      <c r="E265" s="26">
        <v>0</v>
      </c>
      <c r="F265" s="24">
        <f t="shared" si="60"/>
        <v>0</v>
      </c>
      <c r="G265" s="26">
        <v>0</v>
      </c>
      <c r="H265" s="24">
        <f t="shared" si="61"/>
        <v>0</v>
      </c>
    </row>
    <row r="266" spans="2:8" x14ac:dyDescent="0.25">
      <c r="B266" s="50" t="s">
        <v>36</v>
      </c>
      <c r="C266" s="26">
        <v>0</v>
      </c>
      <c r="D266" s="30">
        <v>0</v>
      </c>
      <c r="E266" s="26">
        <v>0</v>
      </c>
      <c r="F266" s="24">
        <f t="shared" si="60"/>
        <v>0</v>
      </c>
      <c r="G266" s="26">
        <v>0</v>
      </c>
      <c r="H266" s="24">
        <f t="shared" si="61"/>
        <v>0</v>
      </c>
    </row>
    <row r="267" spans="2:8" x14ac:dyDescent="0.25">
      <c r="B267" s="25" t="s">
        <v>142</v>
      </c>
      <c r="C267" s="26">
        <v>0</v>
      </c>
      <c r="D267" s="30">
        <v>0</v>
      </c>
      <c r="E267" s="26">
        <v>0</v>
      </c>
      <c r="F267" s="24">
        <f t="shared" si="60"/>
        <v>0</v>
      </c>
      <c r="G267" s="26">
        <v>0</v>
      </c>
      <c r="H267" s="24">
        <f t="shared" si="61"/>
        <v>0</v>
      </c>
    </row>
    <row r="268" spans="2:8" x14ac:dyDescent="0.25">
      <c r="B268" s="25" t="s">
        <v>87</v>
      </c>
      <c r="C268" s="26">
        <v>0</v>
      </c>
      <c r="D268" s="30">
        <v>0</v>
      </c>
      <c r="E268" s="26">
        <v>0</v>
      </c>
      <c r="F268" s="24">
        <f t="shared" si="60"/>
        <v>0</v>
      </c>
      <c r="G268" s="26">
        <v>0</v>
      </c>
      <c r="H268" s="24">
        <f t="shared" si="61"/>
        <v>0</v>
      </c>
    </row>
    <row r="269" spans="2:8" x14ac:dyDescent="0.25">
      <c r="B269" s="25" t="s">
        <v>88</v>
      </c>
      <c r="C269" s="28">
        <v>0</v>
      </c>
      <c r="D269" s="30">
        <v>0</v>
      </c>
      <c r="E269" s="26">
        <v>0</v>
      </c>
      <c r="F269" s="24">
        <f t="shared" si="60"/>
        <v>0</v>
      </c>
      <c r="G269" s="26">
        <v>0</v>
      </c>
      <c r="H269" s="24">
        <f t="shared" si="61"/>
        <v>0</v>
      </c>
    </row>
    <row r="270" spans="2:8" x14ac:dyDescent="0.25">
      <c r="B270" s="25" t="s">
        <v>32</v>
      </c>
      <c r="C270" s="28">
        <v>0</v>
      </c>
      <c r="D270" s="31">
        <v>0</v>
      </c>
      <c r="E270" s="26">
        <v>0</v>
      </c>
      <c r="F270" s="24">
        <f t="shared" si="60"/>
        <v>0</v>
      </c>
      <c r="G270" s="26">
        <v>0</v>
      </c>
      <c r="H270" s="35">
        <f t="shared" si="61"/>
        <v>0</v>
      </c>
    </row>
    <row r="271" spans="2:8" x14ac:dyDescent="0.25">
      <c r="B271" s="41" t="s">
        <v>35</v>
      </c>
      <c r="C271" s="28">
        <v>0</v>
      </c>
      <c r="D271" s="32">
        <v>0</v>
      </c>
      <c r="E271" s="28">
        <v>0</v>
      </c>
      <c r="F271" s="24">
        <f t="shared" si="60"/>
        <v>0</v>
      </c>
      <c r="G271" s="28">
        <v>0</v>
      </c>
      <c r="H271" s="42">
        <f t="shared" si="61"/>
        <v>0</v>
      </c>
    </row>
    <row r="272" spans="2:8" ht="15.75" thickBot="1" x14ac:dyDescent="0.3">
      <c r="B272" s="27" t="s">
        <v>38</v>
      </c>
      <c r="C272" s="28">
        <v>1</v>
      </c>
      <c r="D272" s="32">
        <f>C272</f>
        <v>1</v>
      </c>
      <c r="E272" s="36">
        <v>0</v>
      </c>
      <c r="F272" s="24">
        <f t="shared" si="60"/>
        <v>0</v>
      </c>
      <c r="G272" s="36">
        <v>0</v>
      </c>
      <c r="H272" s="37">
        <f t="shared" si="61"/>
        <v>0</v>
      </c>
    </row>
    <row r="273" spans="2:8" ht="15.75" thickBot="1" x14ac:dyDescent="0.3">
      <c r="B273" s="17" t="s">
        <v>3</v>
      </c>
      <c r="C273" s="74">
        <f t="shared" ref="C273:E273" si="62">SUM(C255:C272)</f>
        <v>24</v>
      </c>
      <c r="D273" s="76">
        <f t="shared" si="62"/>
        <v>24</v>
      </c>
      <c r="E273" s="58">
        <f t="shared" si="62"/>
        <v>18</v>
      </c>
      <c r="F273" s="83">
        <f>SUM(F255:F272)</f>
        <v>18</v>
      </c>
      <c r="G273" s="16">
        <f t="shared" ref="G273:H273" si="63">SUM(G255:G272)</f>
        <v>21</v>
      </c>
      <c r="H273" s="16">
        <f t="shared" si="63"/>
        <v>21</v>
      </c>
    </row>
    <row r="277" spans="2:8" ht="15.75" thickBot="1" x14ac:dyDescent="0.3"/>
    <row r="278" spans="2:8" ht="15.75" thickBot="1" x14ac:dyDescent="0.3">
      <c r="B278" s="204" t="s">
        <v>60</v>
      </c>
      <c r="C278" s="202" t="s">
        <v>85</v>
      </c>
      <c r="D278" s="203"/>
      <c r="E278" s="194" t="s">
        <v>80</v>
      </c>
      <c r="F278" s="195"/>
      <c r="G278" s="196" t="s">
        <v>81</v>
      </c>
      <c r="H278" s="197"/>
    </row>
    <row r="279" spans="2:8" ht="15.75" thickBot="1" x14ac:dyDescent="0.3">
      <c r="B279" s="205"/>
      <c r="C279" s="74">
        <v>2022</v>
      </c>
      <c r="D279" s="76" t="s">
        <v>3</v>
      </c>
      <c r="E279" s="58">
        <v>2023</v>
      </c>
      <c r="F279" s="59" t="s">
        <v>3</v>
      </c>
      <c r="G279" s="1">
        <v>2023</v>
      </c>
      <c r="H279" s="2" t="s">
        <v>3</v>
      </c>
    </row>
    <row r="280" spans="2:8" x14ac:dyDescent="0.25">
      <c r="B280" s="22" t="s">
        <v>130</v>
      </c>
      <c r="C280" s="23">
        <v>5</v>
      </c>
      <c r="D280" s="30">
        <f t="shared" ref="D280:D285" si="64">C280</f>
        <v>5</v>
      </c>
      <c r="E280" s="33">
        <v>6</v>
      </c>
      <c r="F280" s="34">
        <f t="shared" ref="F280:F297" si="65">E280</f>
        <v>6</v>
      </c>
      <c r="G280" s="33">
        <v>7</v>
      </c>
      <c r="H280" s="34">
        <f t="shared" ref="H280:H297" si="66">G280</f>
        <v>7</v>
      </c>
    </row>
    <row r="281" spans="2:8" x14ac:dyDescent="0.25">
      <c r="B281" s="25" t="s">
        <v>27</v>
      </c>
      <c r="C281" s="26">
        <v>1</v>
      </c>
      <c r="D281" s="30">
        <f t="shared" si="64"/>
        <v>1</v>
      </c>
      <c r="E281" s="26">
        <v>4</v>
      </c>
      <c r="F281" s="24">
        <f t="shared" si="65"/>
        <v>4</v>
      </c>
      <c r="G281" s="26">
        <v>7</v>
      </c>
      <c r="H281" s="24">
        <f t="shared" si="66"/>
        <v>7</v>
      </c>
    </row>
    <row r="282" spans="2:8" x14ac:dyDescent="0.25">
      <c r="B282" s="25" t="s">
        <v>129</v>
      </c>
      <c r="C282" s="26">
        <v>7</v>
      </c>
      <c r="D282" s="30">
        <f t="shared" si="64"/>
        <v>7</v>
      </c>
      <c r="E282" s="26">
        <v>3</v>
      </c>
      <c r="F282" s="24">
        <f t="shared" si="65"/>
        <v>3</v>
      </c>
      <c r="G282" s="26">
        <v>5</v>
      </c>
      <c r="H282" s="24">
        <f t="shared" si="66"/>
        <v>5</v>
      </c>
    </row>
    <row r="283" spans="2:8" x14ac:dyDescent="0.25">
      <c r="B283" s="25" t="s">
        <v>145</v>
      </c>
      <c r="C283" s="26">
        <v>4</v>
      </c>
      <c r="D283" s="30">
        <f t="shared" si="64"/>
        <v>4</v>
      </c>
      <c r="E283" s="26">
        <v>3</v>
      </c>
      <c r="F283" s="24">
        <f t="shared" si="65"/>
        <v>3</v>
      </c>
      <c r="G283" s="26">
        <v>1</v>
      </c>
      <c r="H283" s="24">
        <f t="shared" si="66"/>
        <v>1</v>
      </c>
    </row>
    <row r="284" spans="2:8" x14ac:dyDescent="0.25">
      <c r="B284" s="25" t="s">
        <v>86</v>
      </c>
      <c r="C284" s="26">
        <v>2</v>
      </c>
      <c r="D284" s="30">
        <f t="shared" si="64"/>
        <v>2</v>
      </c>
      <c r="E284" s="26">
        <v>1</v>
      </c>
      <c r="F284" s="24">
        <f t="shared" si="65"/>
        <v>1</v>
      </c>
      <c r="G284" s="26">
        <v>1</v>
      </c>
      <c r="H284" s="24">
        <f t="shared" si="66"/>
        <v>1</v>
      </c>
    </row>
    <row r="285" spans="2:8" x14ac:dyDescent="0.25">
      <c r="B285" s="25" t="s">
        <v>25</v>
      </c>
      <c r="C285" s="26">
        <v>1</v>
      </c>
      <c r="D285" s="30">
        <f t="shared" si="64"/>
        <v>1</v>
      </c>
      <c r="E285" s="26">
        <v>2</v>
      </c>
      <c r="F285" s="24">
        <f t="shared" si="65"/>
        <v>2</v>
      </c>
      <c r="G285" s="26">
        <v>0</v>
      </c>
      <c r="H285" s="24">
        <f t="shared" si="66"/>
        <v>0</v>
      </c>
    </row>
    <row r="286" spans="2:8" x14ac:dyDescent="0.25">
      <c r="B286" s="25" t="s">
        <v>31</v>
      </c>
      <c r="C286" s="26">
        <v>0</v>
      </c>
      <c r="D286" s="30">
        <v>0</v>
      </c>
      <c r="E286" s="26">
        <v>2</v>
      </c>
      <c r="F286" s="24">
        <f t="shared" si="65"/>
        <v>2</v>
      </c>
      <c r="G286" s="26">
        <v>0</v>
      </c>
      <c r="H286" s="24">
        <f t="shared" si="66"/>
        <v>0</v>
      </c>
    </row>
    <row r="287" spans="2:8" x14ac:dyDescent="0.25">
      <c r="B287" s="25" t="s">
        <v>28</v>
      </c>
      <c r="C287" s="26">
        <v>0</v>
      </c>
      <c r="D287" s="30">
        <f>C287</f>
        <v>0</v>
      </c>
      <c r="E287" s="26">
        <v>0</v>
      </c>
      <c r="F287" s="24">
        <f t="shared" si="65"/>
        <v>0</v>
      </c>
      <c r="G287" s="26">
        <v>0</v>
      </c>
      <c r="H287" s="24">
        <f t="shared" si="66"/>
        <v>0</v>
      </c>
    </row>
    <row r="288" spans="2:8" x14ac:dyDescent="0.25">
      <c r="B288" s="25" t="s">
        <v>29</v>
      </c>
      <c r="C288" s="26">
        <v>0</v>
      </c>
      <c r="D288" s="30">
        <f>C288</f>
        <v>0</v>
      </c>
      <c r="E288" s="26">
        <v>0</v>
      </c>
      <c r="F288" s="24">
        <f t="shared" si="65"/>
        <v>0</v>
      </c>
      <c r="G288" s="26">
        <v>0</v>
      </c>
      <c r="H288" s="24">
        <f t="shared" si="66"/>
        <v>0</v>
      </c>
    </row>
    <row r="289" spans="2:8" x14ac:dyDescent="0.25">
      <c r="B289" s="25" t="s">
        <v>33</v>
      </c>
      <c r="C289" s="26">
        <v>0</v>
      </c>
      <c r="D289" s="30">
        <v>0</v>
      </c>
      <c r="E289" s="26">
        <v>0</v>
      </c>
      <c r="F289" s="24">
        <f t="shared" si="65"/>
        <v>0</v>
      </c>
      <c r="G289" s="26">
        <v>0</v>
      </c>
      <c r="H289" s="24">
        <f t="shared" si="66"/>
        <v>0</v>
      </c>
    </row>
    <row r="290" spans="2:8" x14ac:dyDescent="0.25">
      <c r="B290" s="25" t="s">
        <v>26</v>
      </c>
      <c r="C290" s="26">
        <v>3</v>
      </c>
      <c r="D290" s="30">
        <f>C290</f>
        <v>3</v>
      </c>
      <c r="E290" s="26">
        <v>0</v>
      </c>
      <c r="F290" s="24">
        <f t="shared" si="65"/>
        <v>0</v>
      </c>
      <c r="G290" s="26">
        <v>0</v>
      </c>
      <c r="H290" s="24">
        <f t="shared" si="66"/>
        <v>0</v>
      </c>
    </row>
    <row r="291" spans="2:8" x14ac:dyDescent="0.25">
      <c r="B291" s="50" t="s">
        <v>36</v>
      </c>
      <c r="C291" s="26">
        <v>0</v>
      </c>
      <c r="D291" s="30">
        <v>0</v>
      </c>
      <c r="E291" s="26">
        <v>0</v>
      </c>
      <c r="F291" s="24">
        <f t="shared" si="65"/>
        <v>0</v>
      </c>
      <c r="G291" s="26">
        <v>0</v>
      </c>
      <c r="H291" s="24">
        <f t="shared" si="66"/>
        <v>0</v>
      </c>
    </row>
    <row r="292" spans="2:8" x14ac:dyDescent="0.25">
      <c r="B292" s="25" t="s">
        <v>142</v>
      </c>
      <c r="C292" s="26">
        <v>0</v>
      </c>
      <c r="D292" s="30">
        <v>0</v>
      </c>
      <c r="E292" s="26">
        <v>0</v>
      </c>
      <c r="F292" s="24">
        <f t="shared" si="65"/>
        <v>0</v>
      </c>
      <c r="G292" s="26">
        <v>0</v>
      </c>
      <c r="H292" s="24">
        <f t="shared" si="66"/>
        <v>0</v>
      </c>
    </row>
    <row r="293" spans="2:8" x14ac:dyDescent="0.25">
      <c r="B293" s="25" t="s">
        <v>87</v>
      </c>
      <c r="C293" s="26">
        <v>0</v>
      </c>
      <c r="D293" s="30">
        <v>0</v>
      </c>
      <c r="E293" s="26">
        <v>0</v>
      </c>
      <c r="F293" s="24">
        <f t="shared" si="65"/>
        <v>0</v>
      </c>
      <c r="G293" s="26">
        <v>0</v>
      </c>
      <c r="H293" s="24">
        <f t="shared" si="66"/>
        <v>0</v>
      </c>
    </row>
    <row r="294" spans="2:8" x14ac:dyDescent="0.25">
      <c r="B294" s="25" t="s">
        <v>88</v>
      </c>
      <c r="C294" s="28">
        <v>0</v>
      </c>
      <c r="D294" s="30">
        <v>0</v>
      </c>
      <c r="E294" s="26">
        <v>0</v>
      </c>
      <c r="F294" s="24">
        <f t="shared" si="65"/>
        <v>0</v>
      </c>
      <c r="G294" s="26">
        <v>0</v>
      </c>
      <c r="H294" s="24">
        <f t="shared" si="66"/>
        <v>0</v>
      </c>
    </row>
    <row r="295" spans="2:8" x14ac:dyDescent="0.25">
      <c r="B295" s="25" t="s">
        <v>32</v>
      </c>
      <c r="C295" s="28">
        <v>0</v>
      </c>
      <c r="D295" s="31">
        <v>0</v>
      </c>
      <c r="E295" s="26">
        <v>0</v>
      </c>
      <c r="F295" s="24">
        <f t="shared" si="65"/>
        <v>0</v>
      </c>
      <c r="G295" s="26">
        <v>0</v>
      </c>
      <c r="H295" s="35">
        <f t="shared" si="66"/>
        <v>0</v>
      </c>
    </row>
    <row r="296" spans="2:8" x14ac:dyDescent="0.25">
      <c r="B296" s="41" t="s">
        <v>35</v>
      </c>
      <c r="C296" s="28">
        <v>0</v>
      </c>
      <c r="D296" s="32">
        <v>0</v>
      </c>
      <c r="E296" s="28">
        <v>0</v>
      </c>
      <c r="F296" s="24">
        <f t="shared" si="65"/>
        <v>0</v>
      </c>
      <c r="G296" s="28">
        <v>0</v>
      </c>
      <c r="H296" s="42">
        <f t="shared" si="66"/>
        <v>0</v>
      </c>
    </row>
    <row r="297" spans="2:8" ht="15.75" thickBot="1" x14ac:dyDescent="0.3">
      <c r="B297" s="27" t="s">
        <v>38</v>
      </c>
      <c r="C297" s="28">
        <v>1</v>
      </c>
      <c r="D297" s="32">
        <f>C297</f>
        <v>1</v>
      </c>
      <c r="E297" s="36">
        <v>0</v>
      </c>
      <c r="F297" s="24">
        <f t="shared" si="65"/>
        <v>0</v>
      </c>
      <c r="G297" s="36">
        <v>0</v>
      </c>
      <c r="H297" s="37">
        <f t="shared" si="66"/>
        <v>0</v>
      </c>
    </row>
    <row r="298" spans="2:8" ht="15.75" thickBot="1" x14ac:dyDescent="0.3">
      <c r="B298" s="17" t="s">
        <v>3</v>
      </c>
      <c r="C298" s="74">
        <f t="shared" ref="C298:E298" si="67">SUM(C280:C297)</f>
        <v>24</v>
      </c>
      <c r="D298" s="76">
        <f t="shared" si="67"/>
        <v>24</v>
      </c>
      <c r="E298" s="58">
        <f t="shared" si="67"/>
        <v>21</v>
      </c>
      <c r="F298" s="83">
        <f>SUM(F280:F297)</f>
        <v>21</v>
      </c>
      <c r="G298" s="16">
        <f t="shared" ref="G298:H298" si="68">SUM(G280:G297)</f>
        <v>21</v>
      </c>
      <c r="H298" s="16">
        <f t="shared" si="68"/>
        <v>21</v>
      </c>
    </row>
    <row r="301" spans="2:8" ht="15.75" thickBot="1" x14ac:dyDescent="0.3"/>
    <row r="302" spans="2:8" ht="15.75" thickBot="1" x14ac:dyDescent="0.3">
      <c r="B302" s="204" t="s">
        <v>60</v>
      </c>
      <c r="C302" s="202" t="s">
        <v>85</v>
      </c>
      <c r="D302" s="203"/>
      <c r="E302" s="194" t="s">
        <v>81</v>
      </c>
      <c r="F302" s="195"/>
      <c r="G302" s="196" t="s">
        <v>82</v>
      </c>
      <c r="H302" s="197"/>
    </row>
    <row r="303" spans="2:8" ht="15.75" thickBot="1" x14ac:dyDescent="0.3">
      <c r="B303" s="205"/>
      <c r="C303" s="74">
        <v>2022</v>
      </c>
      <c r="D303" s="76" t="s">
        <v>3</v>
      </c>
      <c r="E303" s="58">
        <v>2023</v>
      </c>
      <c r="F303" s="59" t="s">
        <v>3</v>
      </c>
      <c r="G303" s="1">
        <v>2023</v>
      </c>
      <c r="H303" s="2" t="s">
        <v>3</v>
      </c>
    </row>
    <row r="304" spans="2:8" x14ac:dyDescent="0.25">
      <c r="B304" s="22" t="s">
        <v>130</v>
      </c>
      <c r="C304" s="23">
        <v>5</v>
      </c>
      <c r="D304" s="30">
        <f t="shared" ref="D304:D310" si="69">C304</f>
        <v>5</v>
      </c>
      <c r="E304" s="33">
        <v>7</v>
      </c>
      <c r="F304" s="34">
        <f t="shared" ref="F304:F321" si="70">E304</f>
        <v>7</v>
      </c>
      <c r="G304" s="33">
        <v>8</v>
      </c>
      <c r="H304" s="34">
        <f t="shared" ref="H304:H321" si="71">G304</f>
        <v>8</v>
      </c>
    </row>
    <row r="305" spans="2:8" x14ac:dyDescent="0.25">
      <c r="B305" s="25" t="s">
        <v>129</v>
      </c>
      <c r="C305" s="26">
        <v>7</v>
      </c>
      <c r="D305" s="30">
        <f t="shared" si="69"/>
        <v>7</v>
      </c>
      <c r="E305" s="26">
        <v>5</v>
      </c>
      <c r="F305" s="24">
        <f t="shared" si="70"/>
        <v>5</v>
      </c>
      <c r="G305" s="26">
        <v>5</v>
      </c>
      <c r="H305" s="24">
        <f t="shared" si="71"/>
        <v>5</v>
      </c>
    </row>
    <row r="306" spans="2:8" x14ac:dyDescent="0.25">
      <c r="B306" s="25" t="s">
        <v>27</v>
      </c>
      <c r="C306" s="26">
        <v>1</v>
      </c>
      <c r="D306" s="30">
        <f t="shared" si="69"/>
        <v>1</v>
      </c>
      <c r="E306" s="26">
        <v>7</v>
      </c>
      <c r="F306" s="24">
        <f t="shared" si="70"/>
        <v>7</v>
      </c>
      <c r="G306" s="26">
        <v>3</v>
      </c>
      <c r="H306" s="24">
        <f t="shared" si="71"/>
        <v>3</v>
      </c>
    </row>
    <row r="307" spans="2:8" x14ac:dyDescent="0.25">
      <c r="B307" s="25" t="s">
        <v>145</v>
      </c>
      <c r="C307" s="26">
        <v>4</v>
      </c>
      <c r="D307" s="30">
        <f t="shared" si="69"/>
        <v>4</v>
      </c>
      <c r="E307" s="26">
        <v>1</v>
      </c>
      <c r="F307" s="24">
        <f t="shared" si="70"/>
        <v>1</v>
      </c>
      <c r="G307" s="26">
        <v>2</v>
      </c>
      <c r="H307" s="24">
        <f t="shared" si="71"/>
        <v>2</v>
      </c>
    </row>
    <row r="308" spans="2:8" x14ac:dyDescent="0.25">
      <c r="B308" s="25" t="s">
        <v>29</v>
      </c>
      <c r="C308" s="26">
        <v>0</v>
      </c>
      <c r="D308" s="30">
        <f t="shared" si="69"/>
        <v>0</v>
      </c>
      <c r="E308" s="26">
        <v>0</v>
      </c>
      <c r="F308" s="24">
        <f t="shared" si="70"/>
        <v>0</v>
      </c>
      <c r="G308" s="26">
        <v>2</v>
      </c>
      <c r="H308" s="24">
        <f t="shared" si="71"/>
        <v>2</v>
      </c>
    </row>
    <row r="309" spans="2:8" x14ac:dyDescent="0.25">
      <c r="B309" s="25" t="s">
        <v>86</v>
      </c>
      <c r="C309" s="26">
        <v>2</v>
      </c>
      <c r="D309" s="30">
        <f t="shared" si="69"/>
        <v>2</v>
      </c>
      <c r="E309" s="26">
        <v>1</v>
      </c>
      <c r="F309" s="24">
        <f t="shared" si="70"/>
        <v>1</v>
      </c>
      <c r="G309" s="26">
        <v>1</v>
      </c>
      <c r="H309" s="24">
        <f t="shared" si="71"/>
        <v>1</v>
      </c>
    </row>
    <row r="310" spans="2:8" x14ac:dyDescent="0.25">
      <c r="B310" s="25" t="s">
        <v>25</v>
      </c>
      <c r="C310" s="26">
        <v>1</v>
      </c>
      <c r="D310" s="30">
        <f t="shared" si="69"/>
        <v>1</v>
      </c>
      <c r="E310" s="26">
        <v>0</v>
      </c>
      <c r="F310" s="24">
        <f t="shared" si="70"/>
        <v>0</v>
      </c>
      <c r="G310" s="26">
        <v>0</v>
      </c>
      <c r="H310" s="24">
        <f t="shared" si="71"/>
        <v>0</v>
      </c>
    </row>
    <row r="311" spans="2:8" x14ac:dyDescent="0.25">
      <c r="B311" s="25" t="s">
        <v>31</v>
      </c>
      <c r="C311" s="26">
        <v>0</v>
      </c>
      <c r="D311" s="30">
        <v>0</v>
      </c>
      <c r="E311" s="26">
        <v>0</v>
      </c>
      <c r="F311" s="24">
        <f t="shared" si="70"/>
        <v>0</v>
      </c>
      <c r="G311" s="26">
        <v>0</v>
      </c>
      <c r="H311" s="24">
        <f t="shared" si="71"/>
        <v>0</v>
      </c>
    </row>
    <row r="312" spans="2:8" x14ac:dyDescent="0.25">
      <c r="B312" s="25" t="s">
        <v>28</v>
      </c>
      <c r="C312" s="26">
        <v>0</v>
      </c>
      <c r="D312" s="30">
        <f>C312</f>
        <v>0</v>
      </c>
      <c r="E312" s="26">
        <v>0</v>
      </c>
      <c r="F312" s="24">
        <f t="shared" si="70"/>
        <v>0</v>
      </c>
      <c r="G312" s="26">
        <v>0</v>
      </c>
      <c r="H312" s="24">
        <f t="shared" si="71"/>
        <v>0</v>
      </c>
    </row>
    <row r="313" spans="2:8" x14ac:dyDescent="0.25">
      <c r="B313" s="25" t="s">
        <v>33</v>
      </c>
      <c r="C313" s="26">
        <v>0</v>
      </c>
      <c r="D313" s="30">
        <v>0</v>
      </c>
      <c r="E313" s="26">
        <v>0</v>
      </c>
      <c r="F313" s="24">
        <f t="shared" si="70"/>
        <v>0</v>
      </c>
      <c r="G313" s="26">
        <v>0</v>
      </c>
      <c r="H313" s="24">
        <f t="shared" si="71"/>
        <v>0</v>
      </c>
    </row>
    <row r="314" spans="2:8" x14ac:dyDescent="0.25">
      <c r="B314" s="25" t="s">
        <v>26</v>
      </c>
      <c r="C314" s="26">
        <v>3</v>
      </c>
      <c r="D314" s="30">
        <f>C314</f>
        <v>3</v>
      </c>
      <c r="E314" s="26">
        <v>0</v>
      </c>
      <c r="F314" s="24">
        <f t="shared" si="70"/>
        <v>0</v>
      </c>
      <c r="G314" s="26">
        <v>0</v>
      </c>
      <c r="H314" s="24">
        <f t="shared" si="71"/>
        <v>0</v>
      </c>
    </row>
    <row r="315" spans="2:8" x14ac:dyDescent="0.25">
      <c r="B315" s="50" t="s">
        <v>36</v>
      </c>
      <c r="C315" s="26">
        <v>0</v>
      </c>
      <c r="D315" s="30">
        <v>0</v>
      </c>
      <c r="E315" s="26">
        <v>0</v>
      </c>
      <c r="F315" s="24">
        <f t="shared" si="70"/>
        <v>0</v>
      </c>
      <c r="G315" s="26">
        <v>0</v>
      </c>
      <c r="H315" s="24">
        <f t="shared" si="71"/>
        <v>0</v>
      </c>
    </row>
    <row r="316" spans="2:8" x14ac:dyDescent="0.25">
      <c r="B316" s="25" t="s">
        <v>142</v>
      </c>
      <c r="C316" s="26">
        <v>0</v>
      </c>
      <c r="D316" s="30">
        <v>0</v>
      </c>
      <c r="E316" s="26">
        <v>0</v>
      </c>
      <c r="F316" s="24">
        <f t="shared" si="70"/>
        <v>0</v>
      </c>
      <c r="G316" s="26">
        <v>0</v>
      </c>
      <c r="H316" s="24">
        <f t="shared" si="71"/>
        <v>0</v>
      </c>
    </row>
    <row r="317" spans="2:8" x14ac:dyDescent="0.25">
      <c r="B317" s="25" t="s">
        <v>87</v>
      </c>
      <c r="C317" s="26">
        <v>0</v>
      </c>
      <c r="D317" s="30">
        <v>0</v>
      </c>
      <c r="E317" s="26">
        <v>0</v>
      </c>
      <c r="F317" s="24">
        <f t="shared" si="70"/>
        <v>0</v>
      </c>
      <c r="G317" s="26">
        <v>0</v>
      </c>
      <c r="H317" s="24">
        <f t="shared" si="71"/>
        <v>0</v>
      </c>
    </row>
    <row r="318" spans="2:8" x14ac:dyDescent="0.25">
      <c r="B318" s="25" t="s">
        <v>88</v>
      </c>
      <c r="C318" s="28">
        <v>0</v>
      </c>
      <c r="D318" s="30">
        <v>0</v>
      </c>
      <c r="E318" s="26">
        <v>0</v>
      </c>
      <c r="F318" s="24">
        <f t="shared" si="70"/>
        <v>0</v>
      </c>
      <c r="G318" s="26">
        <v>0</v>
      </c>
      <c r="H318" s="24">
        <f t="shared" si="71"/>
        <v>0</v>
      </c>
    </row>
    <row r="319" spans="2:8" x14ac:dyDescent="0.25">
      <c r="B319" s="25" t="s">
        <v>32</v>
      </c>
      <c r="C319" s="28">
        <v>0</v>
      </c>
      <c r="D319" s="31">
        <v>0</v>
      </c>
      <c r="E319" s="26">
        <v>0</v>
      </c>
      <c r="F319" s="24">
        <f t="shared" si="70"/>
        <v>0</v>
      </c>
      <c r="G319" s="26">
        <v>0</v>
      </c>
      <c r="H319" s="35">
        <f t="shared" si="71"/>
        <v>0</v>
      </c>
    </row>
    <row r="320" spans="2:8" x14ac:dyDescent="0.25">
      <c r="B320" s="41" t="s">
        <v>35</v>
      </c>
      <c r="C320" s="28">
        <v>0</v>
      </c>
      <c r="D320" s="32">
        <v>0</v>
      </c>
      <c r="E320" s="28">
        <v>0</v>
      </c>
      <c r="F320" s="24">
        <f t="shared" si="70"/>
        <v>0</v>
      </c>
      <c r="G320" s="28">
        <v>0</v>
      </c>
      <c r="H320" s="42">
        <f t="shared" si="71"/>
        <v>0</v>
      </c>
    </row>
    <row r="321" spans="2:8" ht="15.75" thickBot="1" x14ac:dyDescent="0.3">
      <c r="B321" s="27" t="s">
        <v>38</v>
      </c>
      <c r="C321" s="28">
        <v>1</v>
      </c>
      <c r="D321" s="32">
        <f>C321</f>
        <v>1</v>
      </c>
      <c r="E321" s="36">
        <v>0</v>
      </c>
      <c r="F321" s="24">
        <f t="shared" si="70"/>
        <v>0</v>
      </c>
      <c r="G321" s="36">
        <v>0</v>
      </c>
      <c r="H321" s="37">
        <f t="shared" si="71"/>
        <v>0</v>
      </c>
    </row>
    <row r="322" spans="2:8" ht="15.75" thickBot="1" x14ac:dyDescent="0.3">
      <c r="B322" s="17" t="s">
        <v>3</v>
      </c>
      <c r="C322" s="74">
        <f t="shared" ref="C322:E322" si="72">SUM(C304:C321)</f>
        <v>24</v>
      </c>
      <c r="D322" s="76">
        <f t="shared" si="72"/>
        <v>24</v>
      </c>
      <c r="E322" s="58">
        <f t="shared" si="72"/>
        <v>21</v>
      </c>
      <c r="F322" s="83">
        <f>SUM(F304:F321)</f>
        <v>21</v>
      </c>
      <c r="G322" s="16">
        <f t="shared" ref="G322:H322" si="73">SUM(G304:G321)</f>
        <v>21</v>
      </c>
      <c r="H322" s="16">
        <f t="shared" si="73"/>
        <v>21</v>
      </c>
    </row>
    <row r="325" spans="2:8" ht="15.75" thickBot="1" x14ac:dyDescent="0.3"/>
    <row r="326" spans="2:8" ht="15.75" thickBot="1" x14ac:dyDescent="0.3">
      <c r="B326" s="204" t="s">
        <v>60</v>
      </c>
      <c r="C326" s="202" t="s">
        <v>85</v>
      </c>
      <c r="D326" s="203"/>
      <c r="E326" s="194" t="s">
        <v>82</v>
      </c>
      <c r="F326" s="195"/>
      <c r="G326" s="196" t="s">
        <v>83</v>
      </c>
      <c r="H326" s="197"/>
    </row>
    <row r="327" spans="2:8" ht="15.75" thickBot="1" x14ac:dyDescent="0.3">
      <c r="B327" s="205"/>
      <c r="C327" s="74">
        <v>2022</v>
      </c>
      <c r="D327" s="76" t="s">
        <v>3</v>
      </c>
      <c r="E327" s="58">
        <v>2023</v>
      </c>
      <c r="F327" s="59" t="s">
        <v>3</v>
      </c>
      <c r="G327" s="1">
        <v>2023</v>
      </c>
      <c r="H327" s="2" t="s">
        <v>3</v>
      </c>
    </row>
    <row r="328" spans="2:8" x14ac:dyDescent="0.25">
      <c r="B328" s="22" t="s">
        <v>130</v>
      </c>
      <c r="C328" s="23">
        <v>5</v>
      </c>
      <c r="D328" s="30">
        <f t="shared" ref="D328:D334" si="74">C328</f>
        <v>5</v>
      </c>
      <c r="E328" s="33">
        <v>8</v>
      </c>
      <c r="F328" s="34">
        <f t="shared" ref="F328:F345" si="75">E328</f>
        <v>8</v>
      </c>
      <c r="G328" s="33">
        <v>5</v>
      </c>
      <c r="H328" s="34">
        <f t="shared" ref="H328:H345" si="76">G328</f>
        <v>5</v>
      </c>
    </row>
    <row r="329" spans="2:8" x14ac:dyDescent="0.25">
      <c r="B329" s="25" t="s">
        <v>129</v>
      </c>
      <c r="C329" s="26">
        <v>7</v>
      </c>
      <c r="D329" s="30">
        <f t="shared" si="74"/>
        <v>7</v>
      </c>
      <c r="E329" s="26">
        <v>5</v>
      </c>
      <c r="F329" s="24">
        <f t="shared" si="75"/>
        <v>5</v>
      </c>
      <c r="G329" s="26">
        <v>4</v>
      </c>
      <c r="H329" s="24">
        <f t="shared" si="76"/>
        <v>4</v>
      </c>
    </row>
    <row r="330" spans="2:8" x14ac:dyDescent="0.25">
      <c r="B330" s="25" t="s">
        <v>27</v>
      </c>
      <c r="C330" s="26">
        <v>1</v>
      </c>
      <c r="D330" s="30">
        <f t="shared" si="74"/>
        <v>1</v>
      </c>
      <c r="E330" s="26">
        <v>3</v>
      </c>
      <c r="F330" s="24">
        <f t="shared" si="75"/>
        <v>3</v>
      </c>
      <c r="G330" s="26">
        <v>1</v>
      </c>
      <c r="H330" s="24">
        <f t="shared" si="76"/>
        <v>1</v>
      </c>
    </row>
    <row r="331" spans="2:8" x14ac:dyDescent="0.25">
      <c r="B331" s="25" t="s">
        <v>145</v>
      </c>
      <c r="C331" s="26">
        <v>4</v>
      </c>
      <c r="D331" s="30">
        <f t="shared" si="74"/>
        <v>4</v>
      </c>
      <c r="E331" s="26">
        <v>2</v>
      </c>
      <c r="F331" s="24">
        <f t="shared" si="75"/>
        <v>2</v>
      </c>
      <c r="G331" s="26">
        <v>1</v>
      </c>
      <c r="H331" s="24">
        <f t="shared" si="76"/>
        <v>1</v>
      </c>
    </row>
    <row r="332" spans="2:8" x14ac:dyDescent="0.25">
      <c r="B332" s="25" t="s">
        <v>29</v>
      </c>
      <c r="C332" s="26">
        <v>0</v>
      </c>
      <c r="D332" s="30">
        <f t="shared" si="74"/>
        <v>0</v>
      </c>
      <c r="E332" s="26">
        <v>2</v>
      </c>
      <c r="F332" s="24">
        <f t="shared" si="75"/>
        <v>2</v>
      </c>
      <c r="G332" s="26">
        <v>0</v>
      </c>
      <c r="H332" s="24">
        <f t="shared" si="76"/>
        <v>0</v>
      </c>
    </row>
    <row r="333" spans="2:8" x14ac:dyDescent="0.25">
      <c r="B333" s="25" t="s">
        <v>86</v>
      </c>
      <c r="C333" s="26">
        <v>2</v>
      </c>
      <c r="D333" s="30">
        <f t="shared" si="74"/>
        <v>2</v>
      </c>
      <c r="E333" s="26">
        <v>1</v>
      </c>
      <c r="F333" s="24">
        <f t="shared" si="75"/>
        <v>1</v>
      </c>
      <c r="G333" s="26">
        <v>0</v>
      </c>
      <c r="H333" s="24">
        <f t="shared" si="76"/>
        <v>0</v>
      </c>
    </row>
    <row r="334" spans="2:8" x14ac:dyDescent="0.25">
      <c r="B334" s="25" t="s">
        <v>25</v>
      </c>
      <c r="C334" s="26">
        <v>1</v>
      </c>
      <c r="D334" s="30">
        <f t="shared" si="74"/>
        <v>1</v>
      </c>
      <c r="E334" s="26">
        <v>0</v>
      </c>
      <c r="F334" s="24">
        <f t="shared" si="75"/>
        <v>0</v>
      </c>
      <c r="G334" s="26">
        <v>0</v>
      </c>
      <c r="H334" s="24">
        <f t="shared" si="76"/>
        <v>0</v>
      </c>
    </row>
    <row r="335" spans="2:8" x14ac:dyDescent="0.25">
      <c r="B335" s="25" t="s">
        <v>31</v>
      </c>
      <c r="C335" s="26">
        <v>0</v>
      </c>
      <c r="D335" s="30">
        <v>0</v>
      </c>
      <c r="E335" s="26">
        <v>0</v>
      </c>
      <c r="F335" s="24">
        <f t="shared" si="75"/>
        <v>0</v>
      </c>
      <c r="G335" s="26">
        <v>0</v>
      </c>
      <c r="H335" s="24">
        <f t="shared" si="76"/>
        <v>0</v>
      </c>
    </row>
    <row r="336" spans="2:8" x14ac:dyDescent="0.25">
      <c r="B336" s="25" t="s">
        <v>28</v>
      </c>
      <c r="C336" s="26">
        <v>0</v>
      </c>
      <c r="D336" s="30">
        <f>C336</f>
        <v>0</v>
      </c>
      <c r="E336" s="26">
        <v>0</v>
      </c>
      <c r="F336" s="24">
        <f t="shared" si="75"/>
        <v>0</v>
      </c>
      <c r="G336" s="26">
        <v>0</v>
      </c>
      <c r="H336" s="24">
        <f t="shared" si="76"/>
        <v>0</v>
      </c>
    </row>
    <row r="337" spans="2:8" x14ac:dyDescent="0.25">
      <c r="B337" s="25" t="s">
        <v>33</v>
      </c>
      <c r="C337" s="26">
        <v>0</v>
      </c>
      <c r="D337" s="30">
        <v>0</v>
      </c>
      <c r="E337" s="26">
        <v>0</v>
      </c>
      <c r="F337" s="24">
        <f t="shared" si="75"/>
        <v>0</v>
      </c>
      <c r="G337" s="26">
        <v>0</v>
      </c>
      <c r="H337" s="24">
        <f t="shared" si="76"/>
        <v>0</v>
      </c>
    </row>
    <row r="338" spans="2:8" x14ac:dyDescent="0.25">
      <c r="B338" s="25" t="s">
        <v>26</v>
      </c>
      <c r="C338" s="26">
        <v>3</v>
      </c>
      <c r="D338" s="30">
        <f>C338</f>
        <v>3</v>
      </c>
      <c r="E338" s="26">
        <v>0</v>
      </c>
      <c r="F338" s="24">
        <f t="shared" si="75"/>
        <v>0</v>
      </c>
      <c r="G338" s="26">
        <v>0</v>
      </c>
      <c r="H338" s="24">
        <f t="shared" si="76"/>
        <v>0</v>
      </c>
    </row>
    <row r="339" spans="2:8" x14ac:dyDescent="0.25">
      <c r="B339" s="50" t="s">
        <v>36</v>
      </c>
      <c r="C339" s="26">
        <v>0</v>
      </c>
      <c r="D339" s="30">
        <v>0</v>
      </c>
      <c r="E339" s="26">
        <v>0</v>
      </c>
      <c r="F339" s="24">
        <f t="shared" si="75"/>
        <v>0</v>
      </c>
      <c r="G339" s="26">
        <v>0</v>
      </c>
      <c r="H339" s="24">
        <f t="shared" si="76"/>
        <v>0</v>
      </c>
    </row>
    <row r="340" spans="2:8" x14ac:dyDescent="0.25">
      <c r="B340" s="25" t="s">
        <v>142</v>
      </c>
      <c r="C340" s="26">
        <v>0</v>
      </c>
      <c r="D340" s="30">
        <v>0</v>
      </c>
      <c r="E340" s="26">
        <v>0</v>
      </c>
      <c r="F340" s="24">
        <f t="shared" si="75"/>
        <v>0</v>
      </c>
      <c r="G340" s="26">
        <v>0</v>
      </c>
      <c r="H340" s="24">
        <f t="shared" si="76"/>
        <v>0</v>
      </c>
    </row>
    <row r="341" spans="2:8" x14ac:dyDescent="0.25">
      <c r="B341" s="25" t="s">
        <v>87</v>
      </c>
      <c r="C341" s="26">
        <v>0</v>
      </c>
      <c r="D341" s="30">
        <v>0</v>
      </c>
      <c r="E341" s="26">
        <v>0</v>
      </c>
      <c r="F341" s="24">
        <f t="shared" si="75"/>
        <v>0</v>
      </c>
      <c r="G341" s="26">
        <v>0</v>
      </c>
      <c r="H341" s="24">
        <f t="shared" si="76"/>
        <v>0</v>
      </c>
    </row>
    <row r="342" spans="2:8" x14ac:dyDescent="0.25">
      <c r="B342" s="25" t="s">
        <v>88</v>
      </c>
      <c r="C342" s="28">
        <v>0</v>
      </c>
      <c r="D342" s="30">
        <v>0</v>
      </c>
      <c r="E342" s="26">
        <v>0</v>
      </c>
      <c r="F342" s="24">
        <f t="shared" si="75"/>
        <v>0</v>
      </c>
      <c r="G342" s="26">
        <v>0</v>
      </c>
      <c r="H342" s="24">
        <f t="shared" si="76"/>
        <v>0</v>
      </c>
    </row>
    <row r="343" spans="2:8" x14ac:dyDescent="0.25">
      <c r="B343" s="25" t="s">
        <v>32</v>
      </c>
      <c r="C343" s="28">
        <v>0</v>
      </c>
      <c r="D343" s="31">
        <v>0</v>
      </c>
      <c r="E343" s="26">
        <v>0</v>
      </c>
      <c r="F343" s="24">
        <f t="shared" si="75"/>
        <v>0</v>
      </c>
      <c r="G343" s="26">
        <v>0</v>
      </c>
      <c r="H343" s="35">
        <f t="shared" si="76"/>
        <v>0</v>
      </c>
    </row>
    <row r="344" spans="2:8" x14ac:dyDescent="0.25">
      <c r="B344" s="41" t="s">
        <v>35</v>
      </c>
      <c r="C344" s="28">
        <v>0</v>
      </c>
      <c r="D344" s="32">
        <v>0</v>
      </c>
      <c r="E344" s="28">
        <v>0</v>
      </c>
      <c r="F344" s="24">
        <f t="shared" si="75"/>
        <v>0</v>
      </c>
      <c r="G344" s="28">
        <v>0</v>
      </c>
      <c r="H344" s="42">
        <f t="shared" si="76"/>
        <v>0</v>
      </c>
    </row>
    <row r="345" spans="2:8" ht="15.75" thickBot="1" x14ac:dyDescent="0.3">
      <c r="B345" s="27" t="s">
        <v>38</v>
      </c>
      <c r="C345" s="28">
        <v>1</v>
      </c>
      <c r="D345" s="32">
        <f>C345</f>
        <v>1</v>
      </c>
      <c r="E345" s="36">
        <v>0</v>
      </c>
      <c r="F345" s="24">
        <f t="shared" si="75"/>
        <v>0</v>
      </c>
      <c r="G345" s="36">
        <v>0</v>
      </c>
      <c r="H345" s="37">
        <f t="shared" si="76"/>
        <v>0</v>
      </c>
    </row>
    <row r="346" spans="2:8" ht="15.75" thickBot="1" x14ac:dyDescent="0.3">
      <c r="B346" s="17" t="s">
        <v>3</v>
      </c>
      <c r="C346" s="74">
        <f t="shared" ref="C346:E346" si="77">SUM(C328:C345)</f>
        <v>24</v>
      </c>
      <c r="D346" s="76">
        <f t="shared" si="77"/>
        <v>24</v>
      </c>
      <c r="E346" s="58">
        <f t="shared" si="77"/>
        <v>21</v>
      </c>
      <c r="F346" s="83">
        <f>SUM(F328:F345)</f>
        <v>21</v>
      </c>
      <c r="G346" s="16">
        <f t="shared" ref="G346:H346" si="78">SUM(G328:G345)</f>
        <v>11</v>
      </c>
      <c r="H346" s="16">
        <f t="shared" si="78"/>
        <v>11</v>
      </c>
    </row>
    <row r="348" spans="2:8" ht="15.75" thickBot="1" x14ac:dyDescent="0.3"/>
    <row r="349" spans="2:8" ht="15.75" thickBot="1" x14ac:dyDescent="0.3">
      <c r="B349" s="152"/>
      <c r="C349" s="202" t="s">
        <v>85</v>
      </c>
      <c r="D349" s="203"/>
      <c r="E349" s="194" t="s">
        <v>83</v>
      </c>
      <c r="F349" s="195"/>
      <c r="G349" s="196" t="s">
        <v>84</v>
      </c>
      <c r="H349" s="197"/>
    </row>
    <row r="350" spans="2:8" ht="15.75" thickBot="1" x14ac:dyDescent="0.3">
      <c r="B350" s="152" t="s">
        <v>60</v>
      </c>
      <c r="C350" s="74">
        <v>2022</v>
      </c>
      <c r="D350" s="76" t="s">
        <v>85</v>
      </c>
      <c r="E350" s="58">
        <v>2023</v>
      </c>
      <c r="F350" s="59" t="s">
        <v>83</v>
      </c>
      <c r="G350" s="1">
        <v>2023</v>
      </c>
      <c r="H350" s="2" t="s">
        <v>84</v>
      </c>
    </row>
    <row r="351" spans="2:8" x14ac:dyDescent="0.25">
      <c r="B351" s="22" t="s">
        <v>129</v>
      </c>
      <c r="C351" s="23">
        <v>7</v>
      </c>
      <c r="D351" s="30">
        <f t="shared" ref="D351:D357" si="79">C351</f>
        <v>7</v>
      </c>
      <c r="E351" s="33">
        <v>4</v>
      </c>
      <c r="F351" s="34">
        <f t="shared" ref="F351:F370" si="80">E351</f>
        <v>4</v>
      </c>
      <c r="G351" s="33">
        <v>4</v>
      </c>
      <c r="H351" s="34">
        <f t="shared" ref="H351:H370" si="81">G351</f>
        <v>4</v>
      </c>
    </row>
    <row r="352" spans="2:8" x14ac:dyDescent="0.25">
      <c r="B352" s="25" t="s">
        <v>133</v>
      </c>
      <c r="C352" s="26">
        <v>1</v>
      </c>
      <c r="D352" s="30">
        <f t="shared" si="79"/>
        <v>1</v>
      </c>
      <c r="E352" s="26">
        <v>0</v>
      </c>
      <c r="F352" s="24">
        <f t="shared" si="80"/>
        <v>0</v>
      </c>
      <c r="G352" s="26">
        <v>3</v>
      </c>
      <c r="H352" s="24">
        <f t="shared" si="81"/>
        <v>3</v>
      </c>
    </row>
    <row r="353" spans="2:8" x14ac:dyDescent="0.25">
      <c r="B353" s="25" t="s">
        <v>130</v>
      </c>
      <c r="C353" s="26">
        <v>5</v>
      </c>
      <c r="D353" s="30">
        <f t="shared" si="79"/>
        <v>5</v>
      </c>
      <c r="E353" s="26">
        <v>5</v>
      </c>
      <c r="F353" s="24">
        <f t="shared" si="80"/>
        <v>5</v>
      </c>
      <c r="G353" s="26">
        <v>2</v>
      </c>
      <c r="H353" s="24">
        <f t="shared" si="81"/>
        <v>2</v>
      </c>
    </row>
    <row r="354" spans="2:8" x14ac:dyDescent="0.25">
      <c r="B354" s="25" t="s">
        <v>135</v>
      </c>
      <c r="C354" s="26">
        <v>1</v>
      </c>
      <c r="D354" s="30">
        <f t="shared" si="79"/>
        <v>1</v>
      </c>
      <c r="E354" s="26">
        <v>1</v>
      </c>
      <c r="F354" s="24">
        <f t="shared" si="80"/>
        <v>1</v>
      </c>
      <c r="G354" s="26">
        <v>2</v>
      </c>
      <c r="H354" s="24">
        <f t="shared" si="81"/>
        <v>2</v>
      </c>
    </row>
    <row r="355" spans="2:8" x14ac:dyDescent="0.25">
      <c r="B355" s="25" t="s">
        <v>145</v>
      </c>
      <c r="C355" s="26">
        <v>4</v>
      </c>
      <c r="D355" s="30">
        <f t="shared" si="79"/>
        <v>4</v>
      </c>
      <c r="E355" s="26">
        <v>1</v>
      </c>
      <c r="F355" s="24">
        <f t="shared" si="80"/>
        <v>1</v>
      </c>
      <c r="G355" s="26">
        <v>1</v>
      </c>
      <c r="H355" s="24">
        <f t="shared" si="81"/>
        <v>1</v>
      </c>
    </row>
    <row r="356" spans="2:8" x14ac:dyDescent="0.25">
      <c r="B356" s="25" t="s">
        <v>131</v>
      </c>
      <c r="C356" s="26">
        <v>0</v>
      </c>
      <c r="D356" s="30">
        <f t="shared" si="79"/>
        <v>0</v>
      </c>
      <c r="E356" s="26">
        <v>0</v>
      </c>
      <c r="F356" s="24">
        <f t="shared" si="80"/>
        <v>0</v>
      </c>
      <c r="G356" s="26">
        <v>0</v>
      </c>
      <c r="H356" s="24">
        <f t="shared" si="81"/>
        <v>0</v>
      </c>
    </row>
    <row r="357" spans="2:8" x14ac:dyDescent="0.25">
      <c r="B357" s="25" t="s">
        <v>34</v>
      </c>
      <c r="C357" s="26">
        <v>2</v>
      </c>
      <c r="D357" s="30">
        <f t="shared" si="79"/>
        <v>2</v>
      </c>
      <c r="E357" s="26">
        <v>0</v>
      </c>
      <c r="F357" s="24">
        <f t="shared" si="80"/>
        <v>0</v>
      </c>
      <c r="G357" s="26">
        <v>0</v>
      </c>
      <c r="H357" s="24">
        <f t="shared" si="81"/>
        <v>0</v>
      </c>
    </row>
    <row r="358" spans="2:8" x14ac:dyDescent="0.25">
      <c r="B358" s="25" t="s">
        <v>106</v>
      </c>
      <c r="C358" s="26">
        <v>0</v>
      </c>
      <c r="D358" s="30">
        <v>0</v>
      </c>
      <c r="E358" s="26">
        <v>0</v>
      </c>
      <c r="F358" s="24">
        <f t="shared" si="80"/>
        <v>0</v>
      </c>
      <c r="G358" s="26">
        <v>0</v>
      </c>
      <c r="H358" s="24">
        <f t="shared" si="81"/>
        <v>0</v>
      </c>
    </row>
    <row r="359" spans="2:8" x14ac:dyDescent="0.25">
      <c r="B359" s="25" t="s">
        <v>132</v>
      </c>
      <c r="C359" s="26">
        <v>0</v>
      </c>
      <c r="D359" s="30">
        <f>C359</f>
        <v>0</v>
      </c>
      <c r="E359" s="26">
        <v>0</v>
      </c>
      <c r="F359" s="24">
        <f t="shared" si="80"/>
        <v>0</v>
      </c>
      <c r="G359" s="26">
        <v>0</v>
      </c>
      <c r="H359" s="24">
        <f t="shared" si="81"/>
        <v>0</v>
      </c>
    </row>
    <row r="360" spans="2:8" x14ac:dyDescent="0.25">
      <c r="B360" s="25" t="s">
        <v>137</v>
      </c>
      <c r="C360" s="26">
        <v>0</v>
      </c>
      <c r="D360" s="30">
        <v>0</v>
      </c>
      <c r="E360" s="26">
        <v>0</v>
      </c>
      <c r="F360" s="24">
        <f t="shared" si="80"/>
        <v>0</v>
      </c>
      <c r="G360" s="26">
        <v>0</v>
      </c>
      <c r="H360" s="24">
        <f t="shared" si="81"/>
        <v>0</v>
      </c>
    </row>
    <row r="361" spans="2:8" x14ac:dyDescent="0.25">
      <c r="B361" s="25" t="s">
        <v>26</v>
      </c>
      <c r="C361" s="26">
        <v>3</v>
      </c>
      <c r="D361" s="30">
        <f>C361</f>
        <v>3</v>
      </c>
      <c r="E361" s="26">
        <v>0</v>
      </c>
      <c r="F361" s="24">
        <f t="shared" si="80"/>
        <v>0</v>
      </c>
      <c r="G361" s="26">
        <v>0</v>
      </c>
      <c r="H361" s="24">
        <f t="shared" si="81"/>
        <v>0</v>
      </c>
    </row>
    <row r="362" spans="2:8" x14ac:dyDescent="0.25">
      <c r="B362" s="50" t="s">
        <v>140</v>
      </c>
      <c r="C362" s="26">
        <v>0</v>
      </c>
      <c r="D362" s="30">
        <v>0</v>
      </c>
      <c r="E362" s="26">
        <v>0</v>
      </c>
      <c r="F362" s="24">
        <f t="shared" si="80"/>
        <v>0</v>
      </c>
      <c r="G362" s="26">
        <v>0</v>
      </c>
      <c r="H362" s="24">
        <f t="shared" si="81"/>
        <v>0</v>
      </c>
    </row>
    <row r="363" spans="2:8" x14ac:dyDescent="0.25">
      <c r="B363" s="25" t="s">
        <v>142</v>
      </c>
      <c r="C363" s="26">
        <v>0</v>
      </c>
      <c r="D363" s="30">
        <v>0</v>
      </c>
      <c r="E363" s="26">
        <v>0</v>
      </c>
      <c r="F363" s="24">
        <f t="shared" si="80"/>
        <v>0</v>
      </c>
      <c r="G363" s="26">
        <v>0</v>
      </c>
      <c r="H363" s="24">
        <f t="shared" si="81"/>
        <v>0</v>
      </c>
    </row>
    <row r="364" spans="2:8" x14ac:dyDescent="0.25">
      <c r="B364" s="25" t="s">
        <v>37</v>
      </c>
      <c r="C364" s="26">
        <v>0</v>
      </c>
      <c r="D364" s="30">
        <v>0</v>
      </c>
      <c r="E364" s="26">
        <v>0</v>
      </c>
      <c r="F364" s="24">
        <f t="shared" si="80"/>
        <v>0</v>
      </c>
      <c r="G364" s="26">
        <v>0</v>
      </c>
      <c r="H364" s="24">
        <f t="shared" si="81"/>
        <v>0</v>
      </c>
    </row>
    <row r="365" spans="2:8" x14ac:dyDescent="0.25">
      <c r="B365" s="25" t="s">
        <v>30</v>
      </c>
      <c r="C365" s="28">
        <v>0</v>
      </c>
      <c r="D365" s="30">
        <v>0</v>
      </c>
      <c r="E365" s="26">
        <v>0</v>
      </c>
      <c r="F365" s="24">
        <f t="shared" si="80"/>
        <v>0</v>
      </c>
      <c r="G365" s="26">
        <v>0</v>
      </c>
      <c r="H365" s="24">
        <f t="shared" si="81"/>
        <v>0</v>
      </c>
    </row>
    <row r="366" spans="2:8" x14ac:dyDescent="0.25">
      <c r="B366" s="25" t="s">
        <v>107</v>
      </c>
      <c r="C366" s="28">
        <v>0</v>
      </c>
      <c r="D366" s="31">
        <v>0</v>
      </c>
      <c r="E366" s="26">
        <v>0</v>
      </c>
      <c r="F366" s="24">
        <f t="shared" si="80"/>
        <v>0</v>
      </c>
      <c r="G366" s="26">
        <v>0</v>
      </c>
      <c r="H366" s="35">
        <f t="shared" si="81"/>
        <v>0</v>
      </c>
    </row>
    <row r="367" spans="2:8" x14ac:dyDescent="0.25">
      <c r="B367" s="41" t="s">
        <v>139</v>
      </c>
      <c r="C367" s="28">
        <v>0</v>
      </c>
      <c r="D367" s="32">
        <v>0</v>
      </c>
      <c r="E367" s="28">
        <v>0</v>
      </c>
      <c r="F367" s="24">
        <f t="shared" si="80"/>
        <v>0</v>
      </c>
      <c r="G367" s="28">
        <v>0</v>
      </c>
      <c r="H367" s="42">
        <f t="shared" si="81"/>
        <v>0</v>
      </c>
    </row>
    <row r="368" spans="2:8" x14ac:dyDescent="0.25">
      <c r="B368" s="41" t="s">
        <v>138</v>
      </c>
      <c r="C368" s="28">
        <v>0</v>
      </c>
      <c r="D368" s="32">
        <v>0</v>
      </c>
      <c r="E368" s="28">
        <v>0</v>
      </c>
      <c r="F368" s="24">
        <v>0</v>
      </c>
      <c r="G368" s="28">
        <v>0</v>
      </c>
      <c r="H368" s="42">
        <v>0</v>
      </c>
    </row>
    <row r="369" spans="2:8" x14ac:dyDescent="0.25">
      <c r="B369" s="41" t="s">
        <v>134</v>
      </c>
      <c r="C369" s="28">
        <v>0</v>
      </c>
      <c r="D369" s="32">
        <v>0</v>
      </c>
      <c r="E369" s="28">
        <v>0</v>
      </c>
      <c r="F369" s="24">
        <v>0</v>
      </c>
      <c r="G369" s="28">
        <v>0</v>
      </c>
      <c r="H369" s="42">
        <v>0</v>
      </c>
    </row>
    <row r="370" spans="2:8" ht="15.75" thickBot="1" x14ac:dyDescent="0.3">
      <c r="B370" s="27" t="s">
        <v>141</v>
      </c>
      <c r="C370" s="28">
        <v>1</v>
      </c>
      <c r="D370" s="32">
        <f>C370</f>
        <v>1</v>
      </c>
      <c r="E370" s="36">
        <v>0</v>
      </c>
      <c r="F370" s="24">
        <f t="shared" si="80"/>
        <v>0</v>
      </c>
      <c r="G370" s="36">
        <v>0</v>
      </c>
      <c r="H370" s="37">
        <f t="shared" si="81"/>
        <v>0</v>
      </c>
    </row>
    <row r="371" spans="2:8" ht="15.75" thickBot="1" x14ac:dyDescent="0.3">
      <c r="B371" s="17" t="s">
        <v>3</v>
      </c>
      <c r="C371" s="74">
        <f t="shared" ref="C371:E371" si="82">SUM(C351:C370)</f>
        <v>24</v>
      </c>
      <c r="D371" s="76">
        <f t="shared" si="82"/>
        <v>24</v>
      </c>
      <c r="E371" s="58">
        <f t="shared" si="82"/>
        <v>11</v>
      </c>
      <c r="F371" s="83">
        <f>SUM(F351:F370)</f>
        <v>11</v>
      </c>
      <c r="G371" s="16">
        <f t="shared" ref="G371:H371" si="83">SUM(G351:G370)</f>
        <v>12</v>
      </c>
      <c r="H371" s="16">
        <f t="shared" si="83"/>
        <v>12</v>
      </c>
    </row>
    <row r="375" spans="2:8" ht="15.75" thickBot="1" x14ac:dyDescent="0.3"/>
    <row r="376" spans="2:8" ht="15.75" thickBot="1" x14ac:dyDescent="0.3">
      <c r="B376" s="152"/>
      <c r="C376" s="202" t="s">
        <v>113</v>
      </c>
      <c r="D376" s="203"/>
      <c r="E376" s="194" t="s">
        <v>84</v>
      </c>
      <c r="F376" s="195"/>
      <c r="G376" s="196" t="s">
        <v>114</v>
      </c>
      <c r="H376" s="197"/>
    </row>
    <row r="377" spans="2:8" ht="15.75" thickBot="1" x14ac:dyDescent="0.3">
      <c r="B377" s="152" t="s">
        <v>60</v>
      </c>
      <c r="C377" s="74">
        <v>2022</v>
      </c>
      <c r="D377" s="76" t="s">
        <v>115</v>
      </c>
      <c r="E377" s="58">
        <v>2023</v>
      </c>
      <c r="F377" s="59" t="s">
        <v>84</v>
      </c>
      <c r="G377" s="1">
        <v>2023</v>
      </c>
      <c r="H377" s="2" t="s">
        <v>114</v>
      </c>
    </row>
    <row r="378" spans="2:8" x14ac:dyDescent="0.25">
      <c r="B378" s="22" t="s">
        <v>129</v>
      </c>
      <c r="C378" s="23">
        <v>7</v>
      </c>
      <c r="D378" s="30">
        <f t="shared" ref="D378:D384" si="84">C378</f>
        <v>7</v>
      </c>
      <c r="E378" s="33">
        <v>4</v>
      </c>
      <c r="F378" s="34">
        <f t="shared" ref="F378:F394" si="85">E378</f>
        <v>4</v>
      </c>
      <c r="G378" s="33">
        <v>4</v>
      </c>
      <c r="H378" s="34">
        <f t="shared" ref="H378:H394" si="86">G378</f>
        <v>4</v>
      </c>
    </row>
    <row r="379" spans="2:8" x14ac:dyDescent="0.25">
      <c r="B379" s="25" t="s">
        <v>130</v>
      </c>
      <c r="C379" s="26">
        <v>1</v>
      </c>
      <c r="D379" s="30">
        <f t="shared" si="84"/>
        <v>1</v>
      </c>
      <c r="E379" s="26">
        <v>0</v>
      </c>
      <c r="F379" s="24">
        <f t="shared" si="85"/>
        <v>0</v>
      </c>
      <c r="G379" s="26">
        <v>3</v>
      </c>
      <c r="H379" s="24">
        <f t="shared" si="86"/>
        <v>3</v>
      </c>
    </row>
    <row r="380" spans="2:8" x14ac:dyDescent="0.25">
      <c r="B380" s="25" t="s">
        <v>133</v>
      </c>
      <c r="C380" s="26">
        <v>5</v>
      </c>
      <c r="D380" s="30">
        <f t="shared" si="84"/>
        <v>5</v>
      </c>
      <c r="E380" s="26">
        <v>5</v>
      </c>
      <c r="F380" s="24">
        <f t="shared" si="85"/>
        <v>5</v>
      </c>
      <c r="G380" s="26">
        <v>2</v>
      </c>
      <c r="H380" s="24">
        <f t="shared" si="86"/>
        <v>2</v>
      </c>
    </row>
    <row r="381" spans="2:8" x14ac:dyDescent="0.25">
      <c r="B381" s="25" t="s">
        <v>26</v>
      </c>
      <c r="C381" s="26">
        <v>1</v>
      </c>
      <c r="D381" s="30">
        <f t="shared" si="84"/>
        <v>1</v>
      </c>
      <c r="E381" s="26">
        <v>1</v>
      </c>
      <c r="F381" s="24">
        <f t="shared" si="85"/>
        <v>1</v>
      </c>
      <c r="G381" s="26">
        <v>2</v>
      </c>
      <c r="H381" s="24">
        <f t="shared" si="86"/>
        <v>2</v>
      </c>
    </row>
    <row r="382" spans="2:8" x14ac:dyDescent="0.25">
      <c r="B382" s="25" t="s">
        <v>135</v>
      </c>
      <c r="C382" s="26">
        <v>4</v>
      </c>
      <c r="D382" s="30">
        <f t="shared" si="84"/>
        <v>4</v>
      </c>
      <c r="E382" s="26">
        <v>1</v>
      </c>
      <c r="F382" s="24">
        <f t="shared" si="85"/>
        <v>1</v>
      </c>
      <c r="G382" s="26">
        <v>1</v>
      </c>
      <c r="H382" s="24">
        <f t="shared" si="86"/>
        <v>1</v>
      </c>
    </row>
    <row r="383" spans="2:8" x14ac:dyDescent="0.25">
      <c r="B383" s="25" t="s">
        <v>132</v>
      </c>
      <c r="C383" s="26">
        <v>0</v>
      </c>
      <c r="D383" s="30">
        <f t="shared" si="84"/>
        <v>0</v>
      </c>
      <c r="E383" s="26">
        <v>0</v>
      </c>
      <c r="F383" s="24">
        <f t="shared" si="85"/>
        <v>0</v>
      </c>
      <c r="G383" s="26">
        <v>0</v>
      </c>
      <c r="H383" s="24">
        <f t="shared" si="86"/>
        <v>0</v>
      </c>
    </row>
    <row r="384" spans="2:8" x14ac:dyDescent="0.25">
      <c r="B384" s="25" t="s">
        <v>136</v>
      </c>
      <c r="C384" s="26">
        <v>2</v>
      </c>
      <c r="D384" s="30">
        <f t="shared" si="84"/>
        <v>2</v>
      </c>
      <c r="E384" s="26">
        <v>0</v>
      </c>
      <c r="F384" s="24">
        <f t="shared" si="85"/>
        <v>0</v>
      </c>
      <c r="G384" s="26">
        <v>0</v>
      </c>
      <c r="H384" s="24">
        <f t="shared" si="86"/>
        <v>0</v>
      </c>
    </row>
    <row r="385" spans="2:8" x14ac:dyDescent="0.25">
      <c r="B385" s="25" t="s">
        <v>131</v>
      </c>
      <c r="C385" s="26">
        <v>0</v>
      </c>
      <c r="D385" s="30">
        <v>0</v>
      </c>
      <c r="E385" s="26">
        <v>0</v>
      </c>
      <c r="F385" s="24">
        <f t="shared" si="85"/>
        <v>0</v>
      </c>
      <c r="G385" s="26">
        <v>0</v>
      </c>
      <c r="H385" s="24">
        <f t="shared" si="86"/>
        <v>0</v>
      </c>
    </row>
    <row r="386" spans="2:8" x14ac:dyDescent="0.25">
      <c r="B386" s="25" t="s">
        <v>30</v>
      </c>
      <c r="C386" s="26">
        <v>0</v>
      </c>
      <c r="D386" s="30">
        <f>C386</f>
        <v>0</v>
      </c>
      <c r="E386" s="26">
        <v>0</v>
      </c>
      <c r="F386" s="24">
        <f t="shared" si="85"/>
        <v>0</v>
      </c>
      <c r="G386" s="26">
        <v>0</v>
      </c>
      <c r="H386" s="24">
        <f t="shared" si="86"/>
        <v>0</v>
      </c>
    </row>
    <row r="387" spans="2:8" x14ac:dyDescent="0.25">
      <c r="B387" s="25" t="s">
        <v>143</v>
      </c>
      <c r="C387" s="26">
        <v>0</v>
      </c>
      <c r="D387" s="30">
        <v>0</v>
      </c>
      <c r="E387" s="26">
        <v>0</v>
      </c>
      <c r="F387" s="24">
        <f t="shared" si="85"/>
        <v>0</v>
      </c>
      <c r="G387" s="26">
        <v>0</v>
      </c>
      <c r="H387" s="24">
        <f t="shared" si="86"/>
        <v>0</v>
      </c>
    </row>
    <row r="388" spans="2:8" x14ac:dyDescent="0.25">
      <c r="B388" s="25" t="s">
        <v>106</v>
      </c>
      <c r="C388" s="26">
        <v>3</v>
      </c>
      <c r="D388" s="30">
        <f>C388</f>
        <v>3</v>
      </c>
      <c r="E388" s="26">
        <v>0</v>
      </c>
      <c r="F388" s="24">
        <f t="shared" si="85"/>
        <v>0</v>
      </c>
      <c r="G388" s="26">
        <v>0</v>
      </c>
      <c r="H388" s="24">
        <f t="shared" si="86"/>
        <v>0</v>
      </c>
    </row>
    <row r="389" spans="2:8" x14ac:dyDescent="0.25">
      <c r="B389" s="50" t="s">
        <v>107</v>
      </c>
      <c r="C389" s="26">
        <v>0</v>
      </c>
      <c r="D389" s="30">
        <v>0</v>
      </c>
      <c r="E389" s="26">
        <v>0</v>
      </c>
      <c r="F389" s="24">
        <f t="shared" si="85"/>
        <v>0</v>
      </c>
      <c r="G389" s="26">
        <v>0</v>
      </c>
      <c r="H389" s="24">
        <f t="shared" si="86"/>
        <v>0</v>
      </c>
    </row>
    <row r="390" spans="2:8" x14ac:dyDescent="0.25">
      <c r="B390" s="25" t="s">
        <v>137</v>
      </c>
      <c r="C390" s="26">
        <v>0</v>
      </c>
      <c r="D390" s="30">
        <v>0</v>
      </c>
      <c r="E390" s="26">
        <v>0</v>
      </c>
      <c r="F390" s="24">
        <f t="shared" si="85"/>
        <v>0</v>
      </c>
      <c r="G390" s="26">
        <v>0</v>
      </c>
      <c r="H390" s="24">
        <f t="shared" si="86"/>
        <v>0</v>
      </c>
    </row>
    <row r="391" spans="2:8" x14ac:dyDescent="0.25">
      <c r="B391" s="25" t="s">
        <v>144</v>
      </c>
      <c r="C391" s="26">
        <v>0</v>
      </c>
      <c r="D391" s="30">
        <v>0</v>
      </c>
      <c r="E391" s="26">
        <v>0</v>
      </c>
      <c r="F391" s="24">
        <f t="shared" si="85"/>
        <v>0</v>
      </c>
      <c r="G391" s="26">
        <v>0</v>
      </c>
      <c r="H391" s="24">
        <f t="shared" si="86"/>
        <v>0</v>
      </c>
    </row>
    <row r="392" spans="2:8" x14ac:dyDescent="0.25">
      <c r="B392" s="25" t="s">
        <v>138</v>
      </c>
      <c r="C392" s="28">
        <v>0</v>
      </c>
      <c r="D392" s="30">
        <v>0</v>
      </c>
      <c r="E392" s="26">
        <v>0</v>
      </c>
      <c r="F392" s="24">
        <f t="shared" si="85"/>
        <v>0</v>
      </c>
      <c r="G392" s="26">
        <v>0</v>
      </c>
      <c r="H392" s="24">
        <f t="shared" si="86"/>
        <v>0</v>
      </c>
    </row>
    <row r="393" spans="2:8" x14ac:dyDescent="0.25">
      <c r="B393" s="25" t="s">
        <v>34</v>
      </c>
      <c r="C393" s="28">
        <v>0</v>
      </c>
      <c r="D393" s="31">
        <v>0</v>
      </c>
      <c r="E393" s="26">
        <v>0</v>
      </c>
      <c r="F393" s="24">
        <f t="shared" si="85"/>
        <v>0</v>
      </c>
      <c r="G393" s="26">
        <v>0</v>
      </c>
      <c r="H393" s="35">
        <f t="shared" si="86"/>
        <v>0</v>
      </c>
    </row>
    <row r="394" spans="2:8" x14ac:dyDescent="0.25">
      <c r="B394" s="41" t="s">
        <v>139</v>
      </c>
      <c r="C394" s="28">
        <v>0</v>
      </c>
      <c r="D394" s="32">
        <v>0</v>
      </c>
      <c r="E394" s="28">
        <v>0</v>
      </c>
      <c r="F394" s="24">
        <f t="shared" si="85"/>
        <v>0</v>
      </c>
      <c r="G394" s="28">
        <v>0</v>
      </c>
      <c r="H394" s="42">
        <f t="shared" si="86"/>
        <v>0</v>
      </c>
    </row>
    <row r="395" spans="2:8" x14ac:dyDescent="0.25">
      <c r="B395" s="41" t="s">
        <v>140</v>
      </c>
      <c r="C395" s="28">
        <v>0</v>
      </c>
      <c r="D395" s="32">
        <v>0</v>
      </c>
      <c r="E395" s="28">
        <v>0</v>
      </c>
      <c r="F395" s="24">
        <f t="shared" ref="F395:F396" si="87">E395</f>
        <v>0</v>
      </c>
      <c r="G395" s="28">
        <v>0</v>
      </c>
      <c r="H395" s="42">
        <f t="shared" ref="H395:H396" si="88">G395</f>
        <v>0</v>
      </c>
    </row>
    <row r="396" spans="2:8" x14ac:dyDescent="0.25">
      <c r="B396" s="41" t="s">
        <v>37</v>
      </c>
      <c r="C396" s="28">
        <v>0</v>
      </c>
      <c r="D396" s="32">
        <v>0</v>
      </c>
      <c r="E396" s="28">
        <v>0</v>
      </c>
      <c r="F396" s="24">
        <f t="shared" si="87"/>
        <v>0</v>
      </c>
      <c r="G396" s="28">
        <v>0</v>
      </c>
      <c r="H396" s="42">
        <f t="shared" si="88"/>
        <v>0</v>
      </c>
    </row>
    <row r="397" spans="2:8" x14ac:dyDescent="0.25">
      <c r="B397" s="41" t="s">
        <v>141</v>
      </c>
      <c r="C397" s="28">
        <v>0</v>
      </c>
      <c r="D397" s="32">
        <v>0</v>
      </c>
      <c r="E397" s="28">
        <v>0</v>
      </c>
      <c r="F397" s="24">
        <v>0</v>
      </c>
      <c r="G397" s="28">
        <v>0</v>
      </c>
      <c r="H397" s="42">
        <v>0</v>
      </c>
    </row>
    <row r="398" spans="2:8" x14ac:dyDescent="0.25">
      <c r="B398" s="41" t="s">
        <v>142</v>
      </c>
      <c r="C398" s="28">
        <v>0</v>
      </c>
      <c r="D398" s="32">
        <v>0</v>
      </c>
      <c r="E398" s="28">
        <v>0</v>
      </c>
      <c r="F398" s="24">
        <v>0</v>
      </c>
      <c r="G398" s="28">
        <v>0</v>
      </c>
      <c r="H398" s="42">
        <v>0</v>
      </c>
    </row>
    <row r="399" spans="2:8" ht="15.75" thickBot="1" x14ac:dyDescent="0.3">
      <c r="B399" s="27" t="s">
        <v>134</v>
      </c>
      <c r="C399" s="28">
        <v>1</v>
      </c>
      <c r="D399" s="32">
        <f>C399</f>
        <v>1</v>
      </c>
      <c r="E399" s="36">
        <v>0</v>
      </c>
      <c r="F399" s="24">
        <f t="shared" ref="F399" si="89">E399</f>
        <v>0</v>
      </c>
      <c r="G399" s="36">
        <v>0</v>
      </c>
      <c r="H399" s="37">
        <f t="shared" ref="H399" si="90">G399</f>
        <v>0</v>
      </c>
    </row>
    <row r="400" spans="2:8" ht="15.75" thickBot="1" x14ac:dyDescent="0.3">
      <c r="B400" s="17" t="s">
        <v>3</v>
      </c>
      <c r="C400" s="74">
        <f t="shared" ref="C400:E400" si="91">SUM(C378:C399)</f>
        <v>24</v>
      </c>
      <c r="D400" s="76">
        <f t="shared" si="91"/>
        <v>24</v>
      </c>
      <c r="E400" s="58">
        <f t="shared" si="91"/>
        <v>11</v>
      </c>
      <c r="F400" s="83">
        <f>SUM(F378:F399)</f>
        <v>11</v>
      </c>
      <c r="G400" s="16">
        <f t="shared" ref="G400:H400" si="92">SUM(G378:G399)</f>
        <v>12</v>
      </c>
      <c r="H400" s="16">
        <f t="shared" si="92"/>
        <v>12</v>
      </c>
    </row>
    <row r="402" spans="2:8" ht="15.75" thickBot="1" x14ac:dyDescent="0.3"/>
    <row r="403" spans="2:8" ht="15.75" thickBot="1" x14ac:dyDescent="0.3">
      <c r="B403" s="152"/>
      <c r="C403" s="202" t="s">
        <v>120</v>
      </c>
      <c r="D403" s="203"/>
      <c r="E403" s="194" t="s">
        <v>114</v>
      </c>
      <c r="F403" s="195"/>
      <c r="G403" s="196" t="s">
        <v>119</v>
      </c>
      <c r="H403" s="197"/>
    </row>
    <row r="404" spans="2:8" ht="15.75" thickBot="1" x14ac:dyDescent="0.3">
      <c r="B404" s="152" t="s">
        <v>60</v>
      </c>
      <c r="C404" s="74">
        <v>2022</v>
      </c>
      <c r="D404" s="76" t="s">
        <v>149</v>
      </c>
      <c r="E404" s="58">
        <v>2023</v>
      </c>
      <c r="F404" s="59" t="s">
        <v>150</v>
      </c>
      <c r="G404" s="1">
        <v>2023</v>
      </c>
      <c r="H404" s="2" t="s">
        <v>151</v>
      </c>
    </row>
    <row r="405" spans="2:8" x14ac:dyDescent="0.25">
      <c r="B405" s="22" t="s">
        <v>129</v>
      </c>
      <c r="C405" s="23">
        <v>6</v>
      </c>
      <c r="D405" s="30">
        <f t="shared" ref="D405:D425" si="93">C405</f>
        <v>6</v>
      </c>
      <c r="E405" s="33">
        <v>7</v>
      </c>
      <c r="F405" s="34">
        <f t="shared" ref="F405:F423" si="94">E405</f>
        <v>7</v>
      </c>
      <c r="G405" s="33">
        <v>8</v>
      </c>
      <c r="H405" s="34">
        <f t="shared" ref="H405:H423" si="95">G405</f>
        <v>8</v>
      </c>
    </row>
    <row r="406" spans="2:8" x14ac:dyDescent="0.25">
      <c r="B406" s="25" t="s">
        <v>130</v>
      </c>
      <c r="C406" s="26">
        <v>4</v>
      </c>
      <c r="D406" s="30">
        <f t="shared" si="93"/>
        <v>4</v>
      </c>
      <c r="E406" s="26">
        <v>7</v>
      </c>
      <c r="F406" s="24">
        <f t="shared" si="94"/>
        <v>7</v>
      </c>
      <c r="G406" s="26">
        <v>7</v>
      </c>
      <c r="H406" s="24">
        <f t="shared" si="95"/>
        <v>7</v>
      </c>
    </row>
    <row r="407" spans="2:8" x14ac:dyDescent="0.25">
      <c r="B407" s="25" t="s">
        <v>133</v>
      </c>
      <c r="C407" s="26">
        <v>3</v>
      </c>
      <c r="D407" s="30">
        <f t="shared" si="93"/>
        <v>3</v>
      </c>
      <c r="E407" s="26">
        <v>4</v>
      </c>
      <c r="F407" s="24">
        <f t="shared" si="94"/>
        <v>4</v>
      </c>
      <c r="G407" s="26">
        <v>3</v>
      </c>
      <c r="H407" s="24">
        <f t="shared" si="95"/>
        <v>3</v>
      </c>
    </row>
    <row r="408" spans="2:8" x14ac:dyDescent="0.25">
      <c r="B408" s="25" t="s">
        <v>26</v>
      </c>
      <c r="C408" s="26">
        <v>0</v>
      </c>
      <c r="D408" s="30">
        <f t="shared" si="93"/>
        <v>0</v>
      </c>
      <c r="E408" s="26">
        <v>0</v>
      </c>
      <c r="F408" s="24">
        <f t="shared" si="94"/>
        <v>0</v>
      </c>
      <c r="G408" s="26">
        <v>0</v>
      </c>
      <c r="H408" s="24">
        <f t="shared" si="95"/>
        <v>0</v>
      </c>
    </row>
    <row r="409" spans="2:8" x14ac:dyDescent="0.25">
      <c r="B409" s="25" t="s">
        <v>135</v>
      </c>
      <c r="C409" s="26">
        <v>4</v>
      </c>
      <c r="D409" s="30">
        <f t="shared" si="93"/>
        <v>4</v>
      </c>
      <c r="E409" s="26">
        <v>3</v>
      </c>
      <c r="F409" s="24">
        <f t="shared" si="94"/>
        <v>3</v>
      </c>
      <c r="G409" s="26">
        <v>0</v>
      </c>
      <c r="H409" s="24">
        <f t="shared" si="95"/>
        <v>0</v>
      </c>
    </row>
    <row r="410" spans="2:8" x14ac:dyDescent="0.25">
      <c r="B410" s="25" t="s">
        <v>132</v>
      </c>
      <c r="C410" s="26">
        <v>0</v>
      </c>
      <c r="D410" s="30">
        <f t="shared" si="93"/>
        <v>0</v>
      </c>
      <c r="E410" s="26">
        <v>0</v>
      </c>
      <c r="F410" s="24">
        <f t="shared" si="94"/>
        <v>0</v>
      </c>
      <c r="G410" s="26">
        <v>1</v>
      </c>
      <c r="H410" s="24">
        <f t="shared" si="95"/>
        <v>1</v>
      </c>
    </row>
    <row r="411" spans="2:8" x14ac:dyDescent="0.25">
      <c r="B411" s="25" t="s">
        <v>136</v>
      </c>
      <c r="C411" s="26">
        <v>0</v>
      </c>
      <c r="D411" s="30">
        <f t="shared" si="93"/>
        <v>0</v>
      </c>
      <c r="E411" s="26">
        <v>0</v>
      </c>
      <c r="F411" s="24">
        <f t="shared" si="94"/>
        <v>0</v>
      </c>
      <c r="G411" s="26">
        <v>0</v>
      </c>
      <c r="H411" s="24">
        <f t="shared" si="95"/>
        <v>0</v>
      </c>
    </row>
    <row r="412" spans="2:8" x14ac:dyDescent="0.25">
      <c r="B412" s="25" t="s">
        <v>131</v>
      </c>
      <c r="C412" s="26">
        <v>1</v>
      </c>
      <c r="D412" s="30">
        <f t="shared" si="93"/>
        <v>1</v>
      </c>
      <c r="E412" s="26">
        <v>1</v>
      </c>
      <c r="F412" s="24">
        <f t="shared" si="94"/>
        <v>1</v>
      </c>
      <c r="G412" s="26">
        <v>1</v>
      </c>
      <c r="H412" s="24">
        <f t="shared" si="95"/>
        <v>1</v>
      </c>
    </row>
    <row r="413" spans="2:8" x14ac:dyDescent="0.25">
      <c r="B413" s="25" t="s">
        <v>30</v>
      </c>
      <c r="C413" s="26">
        <v>0</v>
      </c>
      <c r="D413" s="30">
        <f t="shared" si="93"/>
        <v>0</v>
      </c>
      <c r="E413" s="26">
        <v>0</v>
      </c>
      <c r="F413" s="24">
        <f t="shared" si="94"/>
        <v>0</v>
      </c>
      <c r="G413" s="26">
        <v>0</v>
      </c>
      <c r="H413" s="24">
        <f t="shared" si="95"/>
        <v>0</v>
      </c>
    </row>
    <row r="414" spans="2:8" x14ac:dyDescent="0.25">
      <c r="B414" s="25" t="s">
        <v>143</v>
      </c>
      <c r="C414" s="26">
        <v>1</v>
      </c>
      <c r="D414" s="30">
        <f t="shared" si="93"/>
        <v>1</v>
      </c>
      <c r="E414" s="26">
        <v>1</v>
      </c>
      <c r="F414" s="24">
        <f t="shared" si="94"/>
        <v>1</v>
      </c>
      <c r="G414" s="26">
        <v>0</v>
      </c>
      <c r="H414" s="24">
        <f t="shared" si="95"/>
        <v>0</v>
      </c>
    </row>
    <row r="415" spans="2:8" x14ac:dyDescent="0.25">
      <c r="B415" s="25" t="s">
        <v>106</v>
      </c>
      <c r="C415" s="26">
        <v>0</v>
      </c>
      <c r="D415" s="30">
        <f t="shared" si="93"/>
        <v>0</v>
      </c>
      <c r="E415" s="26">
        <v>0</v>
      </c>
      <c r="F415" s="24">
        <f t="shared" si="94"/>
        <v>0</v>
      </c>
      <c r="G415" s="26">
        <v>0</v>
      </c>
      <c r="H415" s="24">
        <f t="shared" si="95"/>
        <v>0</v>
      </c>
    </row>
    <row r="416" spans="2:8" x14ac:dyDescent="0.25">
      <c r="B416" s="50" t="s">
        <v>107</v>
      </c>
      <c r="C416" s="26">
        <v>0</v>
      </c>
      <c r="D416" s="30">
        <f t="shared" si="93"/>
        <v>0</v>
      </c>
      <c r="E416" s="26">
        <v>0</v>
      </c>
      <c r="F416" s="24">
        <f t="shared" si="94"/>
        <v>0</v>
      </c>
      <c r="G416" s="26">
        <v>0</v>
      </c>
      <c r="H416" s="24">
        <f t="shared" si="95"/>
        <v>0</v>
      </c>
    </row>
    <row r="417" spans="2:8" x14ac:dyDescent="0.25">
      <c r="B417" s="25" t="s">
        <v>137</v>
      </c>
      <c r="C417" s="26">
        <v>0</v>
      </c>
      <c r="D417" s="30">
        <f t="shared" si="93"/>
        <v>0</v>
      </c>
      <c r="E417" s="26">
        <v>1</v>
      </c>
      <c r="F417" s="24">
        <f t="shared" si="94"/>
        <v>1</v>
      </c>
      <c r="G417" s="26">
        <v>0</v>
      </c>
      <c r="H417" s="24">
        <f t="shared" si="95"/>
        <v>0</v>
      </c>
    </row>
    <row r="418" spans="2:8" x14ac:dyDescent="0.25">
      <c r="B418" s="25" t="s">
        <v>144</v>
      </c>
      <c r="C418" s="26">
        <v>0</v>
      </c>
      <c r="D418" s="30">
        <f t="shared" si="93"/>
        <v>0</v>
      </c>
      <c r="E418" s="26">
        <v>0</v>
      </c>
      <c r="F418" s="24">
        <f t="shared" si="94"/>
        <v>0</v>
      </c>
      <c r="G418" s="26">
        <v>1</v>
      </c>
      <c r="H418" s="24">
        <f t="shared" si="95"/>
        <v>1</v>
      </c>
    </row>
    <row r="419" spans="2:8" x14ac:dyDescent="0.25">
      <c r="B419" s="25" t="s">
        <v>138</v>
      </c>
      <c r="C419" s="28">
        <v>0</v>
      </c>
      <c r="D419" s="30">
        <f t="shared" si="93"/>
        <v>0</v>
      </c>
      <c r="E419" s="26">
        <v>0</v>
      </c>
      <c r="F419" s="24">
        <f t="shared" si="94"/>
        <v>0</v>
      </c>
      <c r="G419" s="26">
        <v>0</v>
      </c>
      <c r="H419" s="24">
        <f t="shared" si="95"/>
        <v>0</v>
      </c>
    </row>
    <row r="420" spans="2:8" x14ac:dyDescent="0.25">
      <c r="B420" s="25" t="s">
        <v>34</v>
      </c>
      <c r="C420" s="28">
        <v>0</v>
      </c>
      <c r="D420" s="30">
        <f t="shared" si="93"/>
        <v>0</v>
      </c>
      <c r="E420" s="26">
        <v>0</v>
      </c>
      <c r="F420" s="24">
        <f t="shared" si="94"/>
        <v>0</v>
      </c>
      <c r="G420" s="26">
        <v>0</v>
      </c>
      <c r="H420" s="35">
        <f t="shared" si="95"/>
        <v>0</v>
      </c>
    </row>
    <row r="421" spans="2:8" x14ac:dyDescent="0.25">
      <c r="B421" s="41" t="s">
        <v>139</v>
      </c>
      <c r="C421" s="28">
        <v>0</v>
      </c>
      <c r="D421" s="30">
        <f t="shared" si="93"/>
        <v>0</v>
      </c>
      <c r="E421" s="28">
        <v>0</v>
      </c>
      <c r="F421" s="24">
        <f t="shared" si="94"/>
        <v>0</v>
      </c>
      <c r="G421" s="28">
        <v>0</v>
      </c>
      <c r="H421" s="42">
        <f t="shared" si="95"/>
        <v>0</v>
      </c>
    </row>
    <row r="422" spans="2:8" x14ac:dyDescent="0.25">
      <c r="B422" s="41" t="s">
        <v>140</v>
      </c>
      <c r="C422" s="28">
        <v>0</v>
      </c>
      <c r="D422" s="30">
        <f t="shared" si="93"/>
        <v>0</v>
      </c>
      <c r="E422" s="28">
        <v>0</v>
      </c>
      <c r="F422" s="24">
        <f t="shared" si="94"/>
        <v>0</v>
      </c>
      <c r="G422" s="28">
        <v>0</v>
      </c>
      <c r="H422" s="42">
        <f t="shared" si="95"/>
        <v>0</v>
      </c>
    </row>
    <row r="423" spans="2:8" x14ac:dyDescent="0.25">
      <c r="B423" s="41" t="s">
        <v>37</v>
      </c>
      <c r="C423" s="28">
        <v>0</v>
      </c>
      <c r="D423" s="30">
        <f t="shared" si="93"/>
        <v>0</v>
      </c>
      <c r="E423" s="28">
        <v>0</v>
      </c>
      <c r="F423" s="24">
        <f t="shared" si="94"/>
        <v>0</v>
      </c>
      <c r="G423" s="28">
        <v>0</v>
      </c>
      <c r="H423" s="42">
        <f t="shared" si="95"/>
        <v>0</v>
      </c>
    </row>
    <row r="424" spans="2:8" x14ac:dyDescent="0.25">
      <c r="B424" s="41" t="s">
        <v>141</v>
      </c>
      <c r="C424" s="28">
        <v>0</v>
      </c>
      <c r="D424" s="30">
        <f t="shared" si="93"/>
        <v>0</v>
      </c>
      <c r="E424" s="28">
        <v>0</v>
      </c>
      <c r="F424" s="24">
        <v>0</v>
      </c>
      <c r="G424" s="28">
        <v>0</v>
      </c>
      <c r="H424" s="42">
        <v>0</v>
      </c>
    </row>
    <row r="425" spans="2:8" x14ac:dyDescent="0.25">
      <c r="B425" s="41" t="s">
        <v>142</v>
      </c>
      <c r="C425" s="28">
        <v>0</v>
      </c>
      <c r="D425" s="30">
        <f t="shared" si="93"/>
        <v>0</v>
      </c>
      <c r="E425" s="28">
        <v>0</v>
      </c>
      <c r="F425" s="24">
        <v>0</v>
      </c>
      <c r="G425" s="28">
        <v>0</v>
      </c>
      <c r="H425" s="42">
        <v>0</v>
      </c>
    </row>
    <row r="426" spans="2:8" ht="15.75" thickBot="1" x14ac:dyDescent="0.3">
      <c r="B426" s="27" t="s">
        <v>134</v>
      </c>
      <c r="C426" s="28">
        <v>0</v>
      </c>
      <c r="D426" s="32">
        <f>C426</f>
        <v>0</v>
      </c>
      <c r="E426" s="36">
        <v>0</v>
      </c>
      <c r="F426" s="24">
        <f t="shared" ref="F426" si="96">E426</f>
        <v>0</v>
      </c>
      <c r="G426" s="36">
        <v>0</v>
      </c>
      <c r="H426" s="37">
        <f t="shared" ref="H426" si="97">G426</f>
        <v>0</v>
      </c>
    </row>
    <row r="427" spans="2:8" ht="15.75" thickBot="1" x14ac:dyDescent="0.3">
      <c r="B427" s="17" t="s">
        <v>3</v>
      </c>
      <c r="C427" s="74">
        <f t="shared" ref="C427:E427" si="98">SUM(C405:C426)</f>
        <v>19</v>
      </c>
      <c r="D427" s="76">
        <f t="shared" si="98"/>
        <v>19</v>
      </c>
      <c r="E427" s="58">
        <f t="shared" si="98"/>
        <v>24</v>
      </c>
      <c r="F427" s="83">
        <f>SUM(F405:F426)</f>
        <v>24</v>
      </c>
      <c r="G427" s="16">
        <f t="shared" ref="G427:H427" si="99">SUM(G405:G426)</f>
        <v>21</v>
      </c>
      <c r="H427" s="16">
        <f t="shared" si="99"/>
        <v>21</v>
      </c>
    </row>
  </sheetData>
  <sortState xmlns:xlrd2="http://schemas.microsoft.com/office/spreadsheetml/2017/richdata2" ref="B352:H370">
    <sortCondition descending="1" ref="H351:H370"/>
  </sortState>
  <mergeCells count="77">
    <mergeCell ref="C376:D376"/>
    <mergeCell ref="E376:F376"/>
    <mergeCell ref="G376:H376"/>
    <mergeCell ref="B302:B303"/>
    <mergeCell ref="C302:D302"/>
    <mergeCell ref="E302:F302"/>
    <mergeCell ref="G302:H302"/>
    <mergeCell ref="B253:B254"/>
    <mergeCell ref="C253:D253"/>
    <mergeCell ref="E253:F253"/>
    <mergeCell ref="G253:H253"/>
    <mergeCell ref="B278:B279"/>
    <mergeCell ref="C278:D278"/>
    <mergeCell ref="E278:F278"/>
    <mergeCell ref="G278:H278"/>
    <mergeCell ref="B183:B184"/>
    <mergeCell ref="C183:D183"/>
    <mergeCell ref="E183:F183"/>
    <mergeCell ref="G183:H183"/>
    <mergeCell ref="E160:F160"/>
    <mergeCell ref="G160:H160"/>
    <mergeCell ref="B229:B230"/>
    <mergeCell ref="C229:D229"/>
    <mergeCell ref="E229:F229"/>
    <mergeCell ref="G229:H229"/>
    <mergeCell ref="B206:B207"/>
    <mergeCell ref="C206:D206"/>
    <mergeCell ref="E206:F206"/>
    <mergeCell ref="G206:H206"/>
    <mergeCell ref="B3:B4"/>
    <mergeCell ref="E3:F3"/>
    <mergeCell ref="G3:H3"/>
    <mergeCell ref="C3:D3"/>
    <mergeCell ref="B17:B18"/>
    <mergeCell ref="C17:D17"/>
    <mergeCell ref="E17:F17"/>
    <mergeCell ref="G17:H17"/>
    <mergeCell ref="B31:B32"/>
    <mergeCell ref="C31:D31"/>
    <mergeCell ref="E31:F31"/>
    <mergeCell ref="G31:H31"/>
    <mergeCell ref="B47:B48"/>
    <mergeCell ref="C47:D47"/>
    <mergeCell ref="E47:F47"/>
    <mergeCell ref="G47:H47"/>
    <mergeCell ref="B138:B139"/>
    <mergeCell ref="B64:B65"/>
    <mergeCell ref="C64:D64"/>
    <mergeCell ref="E64:F64"/>
    <mergeCell ref="G64:H64"/>
    <mergeCell ref="B100:B101"/>
    <mergeCell ref="C100:D100"/>
    <mergeCell ref="E100:F100"/>
    <mergeCell ref="G100:H100"/>
    <mergeCell ref="B82:B83"/>
    <mergeCell ref="C82:D82"/>
    <mergeCell ref="E82:F82"/>
    <mergeCell ref="G82:H82"/>
    <mergeCell ref="C138:D138"/>
    <mergeCell ref="E138:F138"/>
    <mergeCell ref="G138:H138"/>
    <mergeCell ref="C403:D403"/>
    <mergeCell ref="E403:F403"/>
    <mergeCell ref="G403:H403"/>
    <mergeCell ref="B119:B120"/>
    <mergeCell ref="C119:D119"/>
    <mergeCell ref="E119:F119"/>
    <mergeCell ref="G119:H119"/>
    <mergeCell ref="C349:D349"/>
    <mergeCell ref="E349:F349"/>
    <mergeCell ref="G349:H349"/>
    <mergeCell ref="B326:B327"/>
    <mergeCell ref="C326:D326"/>
    <mergeCell ref="E326:F326"/>
    <mergeCell ref="G326:H326"/>
    <mergeCell ref="B160:B161"/>
    <mergeCell ref="C160:D1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040B-2162-4363-B4DE-4BD1B84BF311}">
  <dimension ref="A1:AW50"/>
  <sheetViews>
    <sheetView showGridLines="0" tabSelected="1" topLeftCell="B1" zoomScale="90" zoomScaleNormal="90" workbookViewId="0">
      <selection activeCell="D12" sqref="D12"/>
    </sheetView>
  </sheetViews>
  <sheetFormatPr baseColWidth="10" defaultColWidth="0" defaultRowHeight="15" zeroHeight="1" x14ac:dyDescent="0.25"/>
  <cols>
    <col min="1" max="1" width="5.42578125" customWidth="1"/>
    <col min="2" max="2" width="11.5703125" customWidth="1"/>
    <col min="3" max="4" width="11.42578125" customWidth="1"/>
    <col min="5" max="5" width="13" customWidth="1"/>
    <col min="6" max="6" width="11.5703125" customWidth="1"/>
    <col min="7" max="9" width="10.7109375" customWidth="1"/>
    <col min="10" max="21" width="7.7109375" customWidth="1"/>
    <col min="22" max="49" width="0" hidden="1" customWidth="1"/>
    <col min="50" max="16384" width="11.5703125" hidden="1"/>
  </cols>
  <sheetData>
    <row r="1" spans="1:21" ht="23.25" x14ac:dyDescent="0.35">
      <c r="A1" s="86"/>
      <c r="B1" s="206" t="str">
        <f>INDEX('Alertas tempranas AL y NC'!G1,1,1)</f>
        <v>SOLICITUDES PENDIENTES DE CIERRE BTE 02/06/2023</v>
      </c>
      <c r="C1" s="206"/>
      <c r="D1" s="206"/>
      <c r="E1" s="206"/>
      <c r="F1" s="206"/>
      <c r="G1" s="206"/>
      <c r="H1" s="87"/>
      <c r="I1" s="87"/>
      <c r="J1" s="208" t="s">
        <v>91</v>
      </c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84"/>
    </row>
    <row r="2" spans="1:21" x14ac:dyDescent="0.25">
      <c r="A2" s="84"/>
      <c r="B2" s="249" t="s">
        <v>0</v>
      </c>
      <c r="C2" s="250"/>
      <c r="D2" s="167" t="s">
        <v>96</v>
      </c>
      <c r="E2" s="167" t="s">
        <v>154</v>
      </c>
      <c r="F2" s="167" t="s">
        <v>97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x14ac:dyDescent="0.25">
      <c r="A3" s="84"/>
      <c r="B3" s="215" t="str">
        <f>+'Alertas tempranas AL y NC'!B3</f>
        <v>A.L.  KENNEDY</v>
      </c>
      <c r="C3" s="216"/>
      <c r="D3" s="169">
        <f>+'Alertas tempranas AL y NC'!K3</f>
        <v>15</v>
      </c>
      <c r="E3" s="169">
        <f>+'Alertas tempranas AL y NC'!L3</f>
        <v>11</v>
      </c>
      <c r="F3" s="169">
        <f>'Alertas tempranas AL y NC'!D3</f>
        <v>117</v>
      </c>
      <c r="G3" s="84"/>
      <c r="H3" s="84"/>
      <c r="I3" s="84"/>
      <c r="J3" s="209" t="str">
        <f>VLOOKUP('Alertas tempranas AL y NC'!G2,'Alertas tempranas AL y NC'!G2:L4,5,)</f>
        <v>PQRS Vencidas Sin Respuesta Bte 02/06/2023</v>
      </c>
      <c r="K3" s="210"/>
      <c r="L3" s="211"/>
      <c r="M3" s="84"/>
      <c r="N3" s="84"/>
      <c r="O3" s="84"/>
      <c r="P3" s="84"/>
      <c r="Q3" s="84"/>
      <c r="R3" s="84"/>
      <c r="S3" s="84"/>
      <c r="T3" s="84"/>
      <c r="U3" s="84"/>
    </row>
    <row r="4" spans="1:21" ht="14.45" customHeight="1" x14ac:dyDescent="0.25">
      <c r="A4" s="84"/>
      <c r="B4" s="215" t="str">
        <f>+'Alertas tempranas AL y NC'!B4</f>
        <v>A.L. CIUDAD BOLÍVAR</v>
      </c>
      <c r="C4" s="216"/>
      <c r="D4" s="169">
        <f>+'Alertas tempranas AL y NC'!K4</f>
        <v>3</v>
      </c>
      <c r="E4" s="169">
        <f>+'Alertas tempranas AL y NC'!L4</f>
        <v>8</v>
      </c>
      <c r="F4" s="169">
        <f>'Alertas tempranas AL y NC'!D4</f>
        <v>70</v>
      </c>
      <c r="G4" s="84"/>
      <c r="H4" s="84"/>
      <c r="I4" s="84"/>
      <c r="J4" s="212"/>
      <c r="K4" s="213"/>
      <c r="L4" s="214"/>
      <c r="M4" s="84"/>
      <c r="N4" s="84"/>
      <c r="O4" s="84"/>
      <c r="P4" s="84"/>
      <c r="Q4" s="84"/>
      <c r="R4" s="84"/>
      <c r="S4" s="84"/>
      <c r="T4" s="84"/>
      <c r="U4" s="84"/>
    </row>
    <row r="5" spans="1:21" x14ac:dyDescent="0.25">
      <c r="A5" s="84"/>
      <c r="B5" s="215" t="str">
        <f>+'Alertas tempranas AL y NC'!B5</f>
        <v>A.L. SUBA</v>
      </c>
      <c r="C5" s="216"/>
      <c r="D5" s="169">
        <f>+'Alertas tempranas AL y NC'!K5</f>
        <v>3</v>
      </c>
      <c r="E5" s="169">
        <f>+'Alertas tempranas AL y NC'!L5</f>
        <v>6</v>
      </c>
      <c r="F5" s="169">
        <f>'Alertas tempranas AL y NC'!D5</f>
        <v>67</v>
      </c>
      <c r="G5" s="84"/>
      <c r="H5" s="84"/>
      <c r="I5" s="84"/>
      <c r="J5" s="212"/>
      <c r="K5" s="213"/>
      <c r="L5" s="214"/>
      <c r="M5" s="84"/>
      <c r="N5" s="84"/>
      <c r="O5" s="84"/>
      <c r="P5" s="84"/>
      <c r="Q5" s="84"/>
      <c r="R5" s="84"/>
      <c r="S5" s="84"/>
      <c r="T5" s="84"/>
      <c r="U5" s="84"/>
    </row>
    <row r="6" spans="1:21" x14ac:dyDescent="0.25">
      <c r="A6" s="84"/>
      <c r="B6" s="215" t="str">
        <f>+'Alertas tempranas AL y NC'!B6</f>
        <v>A.L. USME</v>
      </c>
      <c r="C6" s="216"/>
      <c r="D6" s="169">
        <f>+'Alertas tempranas AL y NC'!K6</f>
        <v>7</v>
      </c>
      <c r="E6" s="169">
        <f>+'Alertas tempranas AL y NC'!L6</f>
        <v>9</v>
      </c>
      <c r="F6" s="169">
        <f>'Alertas tempranas AL y NC'!D6</f>
        <v>33</v>
      </c>
      <c r="G6" s="84"/>
      <c r="H6" s="84"/>
      <c r="I6" s="84"/>
      <c r="J6" s="217">
        <f>'Alertas tempranas AL y NC'!AB7</f>
        <v>1</v>
      </c>
      <c r="K6" s="218"/>
      <c r="L6" s="219"/>
      <c r="M6" s="84"/>
      <c r="N6" s="84"/>
      <c r="O6" s="84"/>
      <c r="P6" s="84"/>
      <c r="Q6" s="84"/>
      <c r="R6" s="84"/>
      <c r="S6" s="84"/>
      <c r="T6" s="84"/>
      <c r="U6" s="84"/>
    </row>
    <row r="7" spans="1:21" x14ac:dyDescent="0.25">
      <c r="A7" s="84"/>
      <c r="B7" s="215" t="str">
        <f>+'Alertas tempranas AL y NC'!B7</f>
        <v>A.L. CANDELARIA</v>
      </c>
      <c r="C7" s="216"/>
      <c r="D7" s="169">
        <f>+'Alertas tempranas AL y NC'!K7</f>
        <v>11</v>
      </c>
      <c r="E7" s="169">
        <f>+'Alertas tempranas AL y NC'!L7</f>
        <v>6</v>
      </c>
      <c r="F7" s="169">
        <f>'Alertas tempranas AL y NC'!D7</f>
        <v>31</v>
      </c>
      <c r="G7" s="84"/>
      <c r="H7" s="84"/>
      <c r="I7" s="84"/>
      <c r="J7" s="217"/>
      <c r="K7" s="218"/>
      <c r="L7" s="219"/>
      <c r="M7" s="84"/>
      <c r="N7" s="84"/>
      <c r="O7" s="84"/>
      <c r="P7" s="84"/>
      <c r="Q7" s="84"/>
      <c r="R7" s="84"/>
      <c r="S7" s="84"/>
      <c r="T7" s="84"/>
      <c r="U7" s="84"/>
    </row>
    <row r="8" spans="1:21" x14ac:dyDescent="0.25">
      <c r="A8" s="84"/>
      <c r="B8" s="215" t="str">
        <f>+'Alertas tempranas AL y NC'!B8</f>
        <v>A.L. FONTIBÓN</v>
      </c>
      <c r="C8" s="216"/>
      <c r="D8" s="169">
        <f>+'Alertas tempranas AL y NC'!K8</f>
        <v>1</v>
      </c>
      <c r="E8" s="169">
        <f>+'Alertas tempranas AL y NC'!L8</f>
        <v>3</v>
      </c>
      <c r="F8" s="169">
        <f>'Alertas tempranas AL y NC'!D8</f>
        <v>43</v>
      </c>
      <c r="G8" s="84"/>
      <c r="H8" s="84"/>
      <c r="I8" s="84"/>
      <c r="J8" s="220"/>
      <c r="K8" s="221"/>
      <c r="L8" s="222"/>
      <c r="M8" s="84"/>
      <c r="N8" s="84"/>
      <c r="O8" s="84"/>
      <c r="P8" s="84"/>
      <c r="Q8" s="84"/>
      <c r="R8" s="84"/>
      <c r="S8" s="84"/>
      <c r="T8" s="84"/>
      <c r="U8" s="84"/>
    </row>
    <row r="9" spans="1:21" ht="14.45" customHeight="1" x14ac:dyDescent="0.25">
      <c r="A9" s="84"/>
      <c r="B9" s="215" t="str">
        <f>+'Alertas tempranas AL y NC'!B9</f>
        <v>A.L. BOSA</v>
      </c>
      <c r="C9" s="216"/>
      <c r="D9" s="169">
        <f>+'Alertas tempranas AL y NC'!K9</f>
        <v>0</v>
      </c>
      <c r="E9" s="169">
        <f>+'Alertas tempranas AL y NC'!L9</f>
        <v>2</v>
      </c>
      <c r="F9" s="169">
        <f>'Alertas tempranas AL y NC'!D9</f>
        <v>37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1" x14ac:dyDescent="0.25">
      <c r="A10" s="84"/>
      <c r="B10" s="215" t="str">
        <f>+'Alertas tempranas AL y NC'!B10</f>
        <v>A.L. TEUSAQUILLO</v>
      </c>
      <c r="C10" s="216"/>
      <c r="D10" s="169">
        <f>+'Alertas tempranas AL y NC'!K10</f>
        <v>11</v>
      </c>
      <c r="E10" s="169">
        <f>+'Alertas tempranas AL y NC'!L10</f>
        <v>7</v>
      </c>
      <c r="F10" s="169">
        <f>'Alertas tempranas AL y NC'!D10</f>
        <v>20</v>
      </c>
      <c r="G10" s="84"/>
      <c r="H10" s="84"/>
      <c r="I10" s="84"/>
      <c r="J10" s="223" t="str">
        <f>VLOOKUP('Alertas tempranas AL y NC'!G2,'Alertas tempranas AL y NC'!G2:L4,6,)</f>
        <v>PQRS Vencidas Con Respuesta Extemporánea Bte 29/05-02/06/2023</v>
      </c>
      <c r="K10" s="224"/>
      <c r="L10" s="225"/>
      <c r="M10" s="84"/>
      <c r="N10" s="84"/>
      <c r="O10" s="84"/>
      <c r="P10" s="84"/>
      <c r="Q10" s="84"/>
      <c r="R10" s="84"/>
      <c r="S10" s="84"/>
      <c r="T10" s="84"/>
      <c r="U10" s="84"/>
    </row>
    <row r="11" spans="1:21" x14ac:dyDescent="0.25">
      <c r="A11" s="84"/>
      <c r="B11" s="215" t="str">
        <f>+'Alertas tempranas AL y NC'!B11</f>
        <v>A.L. SANTA FE</v>
      </c>
      <c r="C11" s="216"/>
      <c r="D11" s="169">
        <f>+'Alertas tempranas AL y NC'!K11</f>
        <v>7</v>
      </c>
      <c r="E11" s="169">
        <f>+'Alertas tempranas AL y NC'!L11</f>
        <v>1</v>
      </c>
      <c r="F11" s="169">
        <f>'Alertas tempranas AL y NC'!D11</f>
        <v>27</v>
      </c>
      <c r="G11" s="84"/>
      <c r="H11" s="84"/>
      <c r="I11" s="84"/>
      <c r="J11" s="226"/>
      <c r="K11" s="227"/>
      <c r="L11" s="228"/>
      <c r="M11" s="84"/>
      <c r="N11" s="84"/>
      <c r="O11" s="84"/>
      <c r="P11" s="84"/>
      <c r="Q11" s="84"/>
      <c r="R11" s="84"/>
      <c r="S11" s="84"/>
      <c r="T11" s="84"/>
      <c r="U11" s="84"/>
    </row>
    <row r="12" spans="1:21" x14ac:dyDescent="0.25">
      <c r="A12" s="84"/>
      <c r="B12" s="215" t="str">
        <f>+'Alertas tempranas AL y NC'!B12</f>
        <v>A.L. USAQUÉN</v>
      </c>
      <c r="C12" s="216"/>
      <c r="D12" s="169">
        <f>+'Alertas tempranas AL y NC'!K12</f>
        <v>1</v>
      </c>
      <c r="E12" s="169">
        <f>+'Alertas tempranas AL y NC'!L12</f>
        <v>1</v>
      </c>
      <c r="F12" s="169">
        <f>'Alertas tempranas AL y NC'!D12</f>
        <v>30</v>
      </c>
      <c r="G12" s="84"/>
      <c r="H12" s="84"/>
      <c r="I12" s="84"/>
      <c r="J12" s="226"/>
      <c r="K12" s="227"/>
      <c r="L12" s="228"/>
      <c r="M12" s="84"/>
      <c r="N12" s="84"/>
      <c r="O12" s="84"/>
      <c r="P12" s="84"/>
      <c r="Q12" s="84"/>
      <c r="R12" s="84"/>
      <c r="S12" s="84"/>
      <c r="T12" s="84"/>
      <c r="U12" s="84"/>
    </row>
    <row r="13" spans="1:21" x14ac:dyDescent="0.25">
      <c r="A13" s="84"/>
      <c r="B13" s="215" t="str">
        <f>+'Alertas tempranas AL y NC'!B13</f>
        <v>A.L. CHAPINERO</v>
      </c>
      <c r="C13" s="216"/>
      <c r="D13" s="169">
        <f>+'Alertas tempranas AL y NC'!K13</f>
        <v>6</v>
      </c>
      <c r="E13" s="169">
        <f>+'Alertas tempranas AL y NC'!L13</f>
        <v>7</v>
      </c>
      <c r="F13" s="169">
        <f>'Alertas tempranas AL y NC'!D13</f>
        <v>19</v>
      </c>
      <c r="G13" s="84"/>
      <c r="H13" s="84"/>
      <c r="I13" s="84"/>
      <c r="J13" s="229">
        <f>'Alertas tempranas AL y NC'!AC7</f>
        <v>3</v>
      </c>
      <c r="K13" s="230"/>
      <c r="L13" s="231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14.45" customHeight="1" x14ac:dyDescent="0.25">
      <c r="A14" s="84"/>
      <c r="B14" s="215" t="str">
        <f>+'Alertas tempranas AL y NC'!B14</f>
        <v>A.L. SAN CRISTÓBAL</v>
      </c>
      <c r="C14" s="216"/>
      <c r="D14" s="169">
        <f>+'Alertas tempranas AL y NC'!K14</f>
        <v>0</v>
      </c>
      <c r="E14" s="169">
        <f>+'Alertas tempranas AL y NC'!L14</f>
        <v>0</v>
      </c>
      <c r="F14" s="169">
        <f>'Alertas tempranas AL y NC'!D14</f>
        <v>25</v>
      </c>
      <c r="G14" s="84"/>
      <c r="H14" s="84"/>
      <c r="I14" s="84"/>
      <c r="J14" s="229"/>
      <c r="K14" s="230"/>
      <c r="L14" s="231"/>
      <c r="M14" s="84"/>
      <c r="N14" s="84"/>
      <c r="O14" s="84"/>
      <c r="P14" s="84"/>
      <c r="Q14" s="84"/>
      <c r="R14" s="84"/>
      <c r="S14" s="84"/>
      <c r="T14" s="84"/>
      <c r="U14" s="84"/>
    </row>
    <row r="15" spans="1:21" x14ac:dyDescent="0.25">
      <c r="A15" s="84"/>
      <c r="B15" s="215" t="str">
        <f>+'Alertas tempranas AL y NC'!B15</f>
        <v>A.L. TUNJUELITO</v>
      </c>
      <c r="C15" s="216"/>
      <c r="D15" s="169">
        <f>+'Alertas tempranas AL y NC'!K15</f>
        <v>16</v>
      </c>
      <c r="E15" s="169">
        <f>+'Alertas tempranas AL y NC'!L15</f>
        <v>2</v>
      </c>
      <c r="F15" s="169">
        <f>'Alertas tempranas AL y NC'!D15</f>
        <v>6</v>
      </c>
      <c r="G15" s="84"/>
      <c r="H15" s="84"/>
      <c r="I15" s="84"/>
      <c r="J15" s="232"/>
      <c r="K15" s="233"/>
      <c r="L15" s="234"/>
      <c r="M15" s="84"/>
      <c r="N15" s="84"/>
      <c r="O15" s="84"/>
      <c r="P15" s="84"/>
      <c r="Q15" s="84"/>
      <c r="R15" s="84"/>
      <c r="S15" s="84"/>
      <c r="T15" s="84"/>
      <c r="U15" s="84"/>
    </row>
    <row r="16" spans="1:21" ht="14.45" customHeight="1" x14ac:dyDescent="0.25">
      <c r="A16" s="84"/>
      <c r="B16" s="215" t="str">
        <f>+'Alertas tempranas AL y NC'!B16</f>
        <v xml:space="preserve">A.L. ENGATIVA </v>
      </c>
      <c r="C16" s="216"/>
      <c r="D16" s="169">
        <f>+'Alertas tempranas AL y NC'!K16</f>
        <v>0</v>
      </c>
      <c r="E16" s="169">
        <f>+'Alertas tempranas AL y NC'!L16</f>
        <v>2</v>
      </c>
      <c r="F16" s="169">
        <f>'Alertas tempranas AL y NC'!D16</f>
        <v>19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14.45" customHeight="1" x14ac:dyDescent="0.25">
      <c r="A17" s="84"/>
      <c r="B17" s="215" t="str">
        <f>+'Alertas tempranas AL y NC'!B17</f>
        <v>A.L. RAFAEL URIBE</v>
      </c>
      <c r="C17" s="216"/>
      <c r="D17" s="169">
        <f>+'Alertas tempranas AL y NC'!K17</f>
        <v>4</v>
      </c>
      <c r="E17" s="169">
        <f>+'Alertas tempranas AL y NC'!L17</f>
        <v>5</v>
      </c>
      <c r="F17" s="169">
        <f>'Alertas tempranas AL y NC'!D17</f>
        <v>12</v>
      </c>
      <c r="G17" s="84"/>
      <c r="H17" s="84"/>
      <c r="I17" s="84"/>
      <c r="J17" s="235" t="s">
        <v>125</v>
      </c>
      <c r="K17" s="236"/>
      <c r="L17" s="237"/>
      <c r="M17" s="84"/>
      <c r="N17" s="170"/>
      <c r="O17" s="170"/>
      <c r="P17" s="170"/>
      <c r="Q17" s="170"/>
      <c r="R17" s="170"/>
      <c r="S17" s="170"/>
      <c r="T17" s="170"/>
      <c r="U17" s="174"/>
    </row>
    <row r="18" spans="1:21" ht="14.45" customHeight="1" x14ac:dyDescent="0.3">
      <c r="A18" s="84"/>
      <c r="B18" s="215" t="str">
        <f>+'Alertas tempranas AL y NC'!B18</f>
        <v>A.L. ANTONIO NARINO</v>
      </c>
      <c r="C18" s="216"/>
      <c r="D18" s="169">
        <f>+'Alertas tempranas AL y NC'!K18</f>
        <v>6</v>
      </c>
      <c r="E18" s="169">
        <f>+'Alertas tempranas AL y NC'!L18</f>
        <v>2</v>
      </c>
      <c r="F18" s="169">
        <f>'Alertas tempranas AL y NC'!D18</f>
        <v>5</v>
      </c>
      <c r="G18" s="84"/>
      <c r="H18" s="84"/>
      <c r="I18" s="84"/>
      <c r="J18" s="238"/>
      <c r="K18" s="239"/>
      <c r="L18" s="240"/>
      <c r="M18" s="84"/>
      <c r="N18" s="84"/>
      <c r="O18" s="172">
        <f>J20</f>
        <v>43</v>
      </c>
      <c r="P18" s="84"/>
      <c r="Q18" s="170"/>
      <c r="R18" s="170"/>
      <c r="S18" s="170"/>
      <c r="T18" s="170"/>
      <c r="U18" s="84"/>
    </row>
    <row r="19" spans="1:21" ht="14.45" customHeight="1" x14ac:dyDescent="0.3">
      <c r="A19" s="84"/>
      <c r="B19" s="215" t="str">
        <f>+'Alertas tempranas AL y NC'!B19</f>
        <v>A.L. PUENTE ARANDA</v>
      </c>
      <c r="C19" s="216"/>
      <c r="D19" s="169">
        <f>+'Alertas tempranas AL y NC'!K19</f>
        <v>0</v>
      </c>
      <c r="E19" s="169">
        <f>+'Alertas tempranas AL y NC'!L19</f>
        <v>3</v>
      </c>
      <c r="F19" s="169">
        <f>'Alertas tempranas AL y NC'!D19</f>
        <v>8</v>
      </c>
      <c r="G19" s="84"/>
      <c r="H19" s="84"/>
      <c r="I19" s="84"/>
      <c r="J19" s="238"/>
      <c r="K19" s="239"/>
      <c r="L19" s="240"/>
      <c r="M19" s="84"/>
      <c r="N19" s="84"/>
      <c r="O19" s="172">
        <f>J6</f>
        <v>1</v>
      </c>
      <c r="P19" s="170"/>
      <c r="Q19" s="170"/>
      <c r="R19" s="170"/>
      <c r="S19" s="170"/>
      <c r="T19" s="170"/>
      <c r="U19" s="84"/>
    </row>
    <row r="20" spans="1:21" ht="16.149999999999999" customHeight="1" x14ac:dyDescent="0.3">
      <c r="A20" s="84"/>
      <c r="B20" s="215" t="str">
        <f>+'Alertas tempranas AL y NC'!B20</f>
        <v>A.L. BARRIOS UNIDOS</v>
      </c>
      <c r="C20" s="216"/>
      <c r="D20" s="169">
        <f>+'Alertas tempranas AL y NC'!K20</f>
        <v>0</v>
      </c>
      <c r="E20" s="169">
        <f>+'Alertas tempranas AL y NC'!L20</f>
        <v>2</v>
      </c>
      <c r="F20" s="169">
        <f>'Alertas tempranas AL y NC'!D20</f>
        <v>9</v>
      </c>
      <c r="G20" s="84"/>
      <c r="H20" s="84"/>
      <c r="I20" s="84"/>
      <c r="J20" s="241">
        <f>'Alertas tempranas AL y NC'!AD7</f>
        <v>43</v>
      </c>
      <c r="K20" s="242"/>
      <c r="L20" s="243"/>
      <c r="M20" s="84"/>
      <c r="N20" s="170"/>
      <c r="O20" s="170"/>
      <c r="P20" s="170"/>
      <c r="Q20" s="170"/>
      <c r="R20" s="171"/>
      <c r="S20" s="172">
        <f>J13</f>
        <v>3</v>
      </c>
      <c r="T20" s="170"/>
      <c r="U20" s="84"/>
    </row>
    <row r="21" spans="1:21" x14ac:dyDescent="0.25">
      <c r="A21" s="84"/>
      <c r="B21" s="215" t="str">
        <f>+'Alertas tempranas AL y NC'!B21</f>
        <v>A.L. MARTÍRES</v>
      </c>
      <c r="C21" s="216"/>
      <c r="D21" s="169">
        <f>+'Alertas tempranas AL y NC'!K21</f>
        <v>3</v>
      </c>
      <c r="E21" s="169">
        <f>+'Alertas tempranas AL y NC'!L21</f>
        <v>2</v>
      </c>
      <c r="F21" s="169">
        <f>'Alertas tempranas AL y NC'!D21</f>
        <v>6</v>
      </c>
      <c r="G21" s="84"/>
      <c r="H21" s="84"/>
      <c r="I21" s="84"/>
      <c r="J21" s="241"/>
      <c r="K21" s="242"/>
      <c r="L21" s="243"/>
      <c r="M21" s="84"/>
      <c r="N21" s="170"/>
      <c r="O21" s="170"/>
      <c r="P21" s="170"/>
      <c r="Q21" s="170"/>
      <c r="R21" s="170"/>
      <c r="S21" s="170"/>
      <c r="T21" s="170"/>
      <c r="U21" s="84"/>
    </row>
    <row r="22" spans="1:21" x14ac:dyDescent="0.25">
      <c r="A22" s="84"/>
      <c r="B22" s="215" t="str">
        <f>+'Alertas tempranas AL y NC'!B22</f>
        <v>A.L. SUMAPAZ</v>
      </c>
      <c r="C22" s="216"/>
      <c r="D22" s="169">
        <f>+'Alertas tempranas AL y NC'!K22</f>
        <v>2</v>
      </c>
      <c r="E22" s="169">
        <f>+'Alertas tempranas AL y NC'!L22</f>
        <v>0</v>
      </c>
      <c r="F22" s="169">
        <f>'Alertas tempranas AL y NC'!D22</f>
        <v>0</v>
      </c>
      <c r="G22" s="84"/>
      <c r="H22" s="84"/>
      <c r="I22" s="84"/>
      <c r="J22" s="244"/>
      <c r="K22" s="245"/>
      <c r="L22" s="246"/>
      <c r="M22" s="84"/>
      <c r="N22" s="171"/>
      <c r="O22" s="171"/>
      <c r="P22" s="171"/>
      <c r="Q22" s="171"/>
      <c r="R22" s="171"/>
      <c r="S22" s="171"/>
      <c r="T22" s="171"/>
      <c r="U22" s="84"/>
    </row>
    <row r="23" spans="1:21" x14ac:dyDescent="0.25">
      <c r="A23" s="84"/>
      <c r="B23" s="247" t="s">
        <v>3</v>
      </c>
      <c r="C23" s="248"/>
      <c r="D23" s="168">
        <f>SUM(D3:D22)</f>
        <v>96</v>
      </c>
      <c r="E23" s="168">
        <f>SUM(E3:E22)</f>
        <v>79</v>
      </c>
      <c r="F23" s="168">
        <f>SUM(F3:F22)</f>
        <v>584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170"/>
    </row>
    <row r="24" spans="1:21" x14ac:dyDescent="0.25">
      <c r="A24" s="84"/>
      <c r="B24" s="88"/>
      <c r="C24" s="88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170"/>
    </row>
    <row r="25" spans="1:21" x14ac:dyDescent="0.25">
      <c r="A25" s="84"/>
      <c r="B25" s="88"/>
      <c r="C25" s="176"/>
      <c r="D25" s="177"/>
      <c r="E25" s="177"/>
      <c r="F25" s="177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170"/>
    </row>
    <row r="26" spans="1:21" x14ac:dyDescent="0.25">
      <c r="A26" s="84"/>
      <c r="B26" s="88"/>
      <c r="C26" s="88"/>
      <c r="D26" s="88"/>
      <c r="E26" s="88"/>
      <c r="F26" s="177" t="s">
        <v>126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170"/>
    </row>
    <row r="27" spans="1:21" x14ac:dyDescent="0.25">
      <c r="A27" s="84"/>
      <c r="B27" s="88"/>
      <c r="C27" s="88"/>
      <c r="D27" s="88"/>
      <c r="E27" s="88"/>
      <c r="F27" s="177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170"/>
    </row>
    <row r="28" spans="1:21" x14ac:dyDescent="0.25">
      <c r="A28" s="84"/>
      <c r="B28" s="88"/>
      <c r="C28" s="88"/>
      <c r="D28" s="88"/>
      <c r="E28" s="88"/>
      <c r="F28" s="177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</row>
    <row r="29" spans="1:21" x14ac:dyDescent="0.25">
      <c r="A29" s="84"/>
      <c r="B29" s="88"/>
      <c r="C29" s="88"/>
      <c r="D29" s="88"/>
      <c r="E29" s="88"/>
      <c r="F29" s="177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spans="1:21" x14ac:dyDescent="0.25">
      <c r="A30" s="84"/>
      <c r="B30" s="88"/>
      <c r="C30" s="88"/>
      <c r="D30" s="88"/>
      <c r="E30" s="88"/>
      <c r="F30" s="177"/>
      <c r="G30" s="207" t="s">
        <v>112</v>
      </c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84"/>
      <c r="T30" s="84"/>
      <c r="U30" s="84"/>
    </row>
    <row r="31" spans="1:21" x14ac:dyDescent="0.25">
      <c r="A31" s="84"/>
      <c r="B31" s="88"/>
      <c r="C31" s="88"/>
      <c r="D31" s="88"/>
      <c r="E31" s="88"/>
      <c r="F31" s="17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150"/>
      <c r="T31" s="151">
        <v>3</v>
      </c>
      <c r="U31" s="84"/>
    </row>
    <row r="32" spans="1:21" x14ac:dyDescent="0.25">
      <c r="A32" s="84"/>
      <c r="B32" s="88"/>
      <c r="C32" s="88"/>
      <c r="D32" s="88"/>
      <c r="E32" s="88"/>
      <c r="F32" s="177"/>
      <c r="G32" s="84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4"/>
    </row>
    <row r="33" spans="1:21" ht="14.45" customHeight="1" x14ac:dyDescent="0.25">
      <c r="A33" s="84"/>
      <c r="B33" s="88"/>
      <c r="C33" s="88"/>
      <c r="D33" s="88"/>
      <c r="E33" s="88"/>
      <c r="F33" s="177"/>
      <c r="G33" s="84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4"/>
    </row>
    <row r="34" spans="1:21" ht="14.45" customHeight="1" x14ac:dyDescent="0.25">
      <c r="A34" s="84"/>
      <c r="B34" s="88"/>
      <c r="C34" s="88"/>
      <c r="D34" s="88"/>
      <c r="E34" s="88"/>
      <c r="F34" s="177"/>
      <c r="G34" s="84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4"/>
    </row>
    <row r="35" spans="1:21" x14ac:dyDescent="0.25">
      <c r="A35" s="84"/>
      <c r="B35" s="88"/>
      <c r="C35" s="88"/>
      <c r="D35" s="88"/>
      <c r="E35" s="88"/>
      <c r="F35" s="177"/>
      <c r="G35" s="84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4"/>
    </row>
    <row r="36" spans="1:21" x14ac:dyDescent="0.25">
      <c r="A36" s="84"/>
      <c r="B36" s="88"/>
      <c r="C36" s="88"/>
      <c r="D36" s="88"/>
      <c r="E36" s="88"/>
      <c r="F36" s="177"/>
      <c r="G36" s="84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4"/>
    </row>
    <row r="37" spans="1:21" x14ac:dyDescent="0.25">
      <c r="A37" s="84"/>
      <c r="B37" s="88"/>
      <c r="C37" s="88"/>
      <c r="D37" s="88"/>
      <c r="E37" s="88"/>
      <c r="F37" s="177"/>
      <c r="G37" s="84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4"/>
    </row>
    <row r="38" spans="1:21" x14ac:dyDescent="0.25">
      <c r="A38" s="84"/>
      <c r="B38" s="88"/>
      <c r="C38" s="88"/>
      <c r="D38" s="88"/>
      <c r="E38" s="88"/>
      <c r="F38" s="177"/>
      <c r="G38" s="84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4"/>
    </row>
    <row r="39" spans="1:21" x14ac:dyDescent="0.25">
      <c r="A39" s="84"/>
      <c r="B39" s="88"/>
      <c r="C39" s="88"/>
      <c r="D39" s="88"/>
      <c r="E39" s="88"/>
      <c r="F39" s="177"/>
      <c r="G39" s="84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4"/>
    </row>
    <row r="40" spans="1:21" x14ac:dyDescent="0.25">
      <c r="A40" s="84"/>
      <c r="B40" s="88"/>
      <c r="C40" s="88"/>
      <c r="D40" s="88"/>
      <c r="E40" s="88"/>
      <c r="F40" s="177"/>
      <c r="G40" s="84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4"/>
    </row>
    <row r="41" spans="1:21" x14ac:dyDescent="0.25">
      <c r="A41" s="84"/>
      <c r="B41" s="88"/>
      <c r="C41" s="88"/>
      <c r="D41" s="88"/>
      <c r="E41" s="88"/>
      <c r="F41" s="177"/>
      <c r="G41" s="84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4"/>
    </row>
    <row r="42" spans="1:21" x14ac:dyDescent="0.25">
      <c r="A42" s="84"/>
      <c r="B42" s="88"/>
      <c r="C42" s="88"/>
      <c r="D42" s="88"/>
      <c r="E42" s="88"/>
      <c r="F42" s="177"/>
      <c r="G42" s="84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4"/>
    </row>
    <row r="43" spans="1:21" x14ac:dyDescent="0.25">
      <c r="A43" s="84"/>
      <c r="B43" s="88"/>
      <c r="C43" s="88"/>
      <c r="D43" s="88"/>
      <c r="E43" s="88"/>
      <c r="F43" s="177"/>
      <c r="G43" s="84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4"/>
    </row>
    <row r="44" spans="1:21" x14ac:dyDescent="0.25">
      <c r="A44" s="84"/>
      <c r="B44" s="88"/>
      <c r="C44" s="88"/>
      <c r="D44" s="88"/>
      <c r="E44" s="88"/>
      <c r="F44" s="177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x14ac:dyDescent="0.25">
      <c r="A45" s="84"/>
      <c r="B45" s="88"/>
      <c r="C45" s="88"/>
      <c r="D45" s="88"/>
      <c r="E45" s="88"/>
      <c r="F45" s="177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</row>
    <row r="46" spans="1:21" x14ac:dyDescent="0.25">
      <c r="A46" s="84"/>
      <c r="B46" s="88"/>
      <c r="C46" s="88"/>
      <c r="D46" s="88"/>
      <c r="E46" s="88"/>
      <c r="F46" s="176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:21" x14ac:dyDescent="0.25">
      <c r="A47" s="84"/>
      <c r="B47" s="88"/>
      <c r="C47" s="88"/>
      <c r="D47" s="88"/>
      <c r="E47" s="88"/>
      <c r="F47" s="176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:21" x14ac:dyDescent="0.25">
      <c r="A48" s="84"/>
      <c r="B48" s="88"/>
      <c r="C48" s="88"/>
      <c r="D48" s="88"/>
      <c r="E48" s="88"/>
      <c r="F48" s="88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</row>
    <row r="49" spans="1:21" x14ac:dyDescent="0.25">
      <c r="A49" s="84"/>
      <c r="B49" s="88"/>
      <c r="C49" s="88"/>
      <c r="D49" s="88"/>
      <c r="E49" s="88"/>
      <c r="F49" s="88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</row>
    <row r="50" spans="1:21" x14ac:dyDescent="0.25">
      <c r="A50" s="84"/>
      <c r="B50" s="88"/>
      <c r="C50" s="88"/>
      <c r="D50" s="88"/>
      <c r="E50" s="88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</row>
  </sheetData>
  <sheetProtection selectLockedCells="1" selectUnlockedCells="1"/>
  <protectedRanges>
    <protectedRange sqref="A1:A50 B1:B25 B26:E50 F1:U50 C1:E24" name="Rango1"/>
  </protectedRanges>
  <mergeCells count="31">
    <mergeCell ref="J20:L22"/>
    <mergeCell ref="B23:C23"/>
    <mergeCell ref="B2:C2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1:G1"/>
    <mergeCell ref="G30:R31"/>
    <mergeCell ref="J1:T1"/>
    <mergeCell ref="J3:L5"/>
    <mergeCell ref="B3:C3"/>
    <mergeCell ref="B4:C4"/>
    <mergeCell ref="B6:C6"/>
    <mergeCell ref="B7:C7"/>
    <mergeCell ref="B8:C8"/>
    <mergeCell ref="B9:C9"/>
    <mergeCell ref="B10:C10"/>
    <mergeCell ref="B5:C5"/>
    <mergeCell ref="J6:L8"/>
    <mergeCell ref="J10:L12"/>
    <mergeCell ref="J13:L15"/>
    <mergeCell ref="J17:L19"/>
  </mergeCells>
  <conditionalFormatting sqref="K32:O46">
    <cfRule type="expression" dxfId="13" priority="4" stopIfTrue="1">
      <formula>$T$31=2</formula>
    </cfRule>
  </conditionalFormatting>
  <conditionalFormatting sqref="P32:T46 S31:T31">
    <cfRule type="expression" dxfId="12" priority="3">
      <formula>$T$31=3</formula>
    </cfRule>
  </conditionalFormatting>
  <conditionalFormatting sqref="H32:J46">
    <cfRule type="expression" dxfId="11" priority="7">
      <formula>$T$31=1</formula>
    </cfRule>
  </conditionalFormatting>
  <pageMargins left="0.70866141732283472" right="0.70866141732283472" top="0.74803149606299213" bottom="0.74803149606299213" header="0.31496062992125984" footer="0.31496062992125984"/>
  <pageSetup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17</xdr:col>
                    <xdr:colOff>504825</xdr:colOff>
                    <xdr:row>29</xdr:row>
                    <xdr:rowOff>85725</xdr:rowOff>
                  </from>
                  <to>
                    <xdr:col>20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4229-ABCF-439C-BC72-D45383B77D7F}">
  <dimension ref="A1:U52"/>
  <sheetViews>
    <sheetView showGridLines="0" topLeftCell="A28" zoomScale="80" zoomScaleNormal="80" workbookViewId="0">
      <selection activeCell="B15" sqref="B15:C15"/>
    </sheetView>
  </sheetViews>
  <sheetFormatPr baseColWidth="10" defaultColWidth="0" defaultRowHeight="15" customHeight="1" zeroHeight="1" x14ac:dyDescent="0.25"/>
  <cols>
    <col min="1" max="1" width="5.28515625" customWidth="1"/>
    <col min="2" max="2" width="28.28515625" customWidth="1"/>
    <col min="3" max="3" width="26.42578125" customWidth="1"/>
    <col min="4" max="4" width="10.42578125" customWidth="1"/>
    <col min="5" max="5" width="12.42578125" customWidth="1"/>
    <col min="6" max="6" width="11.42578125" customWidth="1"/>
    <col min="7" max="9" width="10.85546875" customWidth="1"/>
    <col min="10" max="12" width="11.28515625" customWidth="1"/>
    <col min="13" max="19" width="8.28515625" customWidth="1"/>
    <col min="20" max="20" width="5.85546875" customWidth="1"/>
    <col min="21" max="21" width="4.140625" customWidth="1"/>
    <col min="22" max="16384" width="11.5703125" hidden="1"/>
  </cols>
  <sheetData>
    <row r="1" spans="1:21" ht="23.45" customHeight="1" x14ac:dyDescent="0.3">
      <c r="A1" s="86"/>
      <c r="B1" s="278" t="str">
        <f>INDEX('Alertas tempranas AL y NC'!G28,1,1)</f>
        <v>SOLICITUDES PENDIENTES DE CIERRE BTE 02/06/2023</v>
      </c>
      <c r="C1" s="278"/>
      <c r="D1" s="278"/>
      <c r="E1" s="278"/>
      <c r="F1" s="278"/>
      <c r="G1" s="87"/>
      <c r="H1" s="87"/>
      <c r="I1" s="87"/>
      <c r="J1" s="279" t="s">
        <v>91</v>
      </c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84"/>
    </row>
    <row r="2" spans="1:21" ht="15" customHeight="1" x14ac:dyDescent="0.25">
      <c r="A2" s="84"/>
      <c r="B2" s="280" t="str">
        <f>+'Alertas tempranas AL y NC'!B29</f>
        <v>DEPENDENCIAS DE NIVEL CENTRAL</v>
      </c>
      <c r="C2" s="281"/>
      <c r="D2" s="167" t="s">
        <v>96</v>
      </c>
      <c r="E2" s="167" t="s">
        <v>124</v>
      </c>
      <c r="F2" s="167" t="s">
        <v>97</v>
      </c>
      <c r="G2" s="84"/>
      <c r="H2" s="84"/>
      <c r="I2" s="84"/>
      <c r="J2" s="84"/>
      <c r="K2" s="252" t="str">
        <f>VLOOKUP('Alertas tempranas AL y NC'!G29,'Alertas tempranas AL y NC'!G29:L31,5,)</f>
        <v>PQRS Vencidas Sin Respuesta Bte 02/06/2023</v>
      </c>
      <c r="L2" s="253"/>
      <c r="M2" s="84"/>
      <c r="N2" s="84"/>
      <c r="O2" s="84"/>
      <c r="P2" s="84"/>
      <c r="Q2" s="84"/>
      <c r="R2" s="84"/>
      <c r="S2" s="84"/>
      <c r="T2" s="84"/>
      <c r="U2" s="84"/>
    </row>
    <row r="3" spans="1:21" ht="15" customHeight="1" x14ac:dyDescent="0.25">
      <c r="A3" s="84"/>
      <c r="B3" s="274" t="str">
        <f>+'Alertas tempranas AL y NC'!B30</f>
        <v>DIR. DE DERECHOS HUMANOS</v>
      </c>
      <c r="C3" s="275"/>
      <c r="D3" s="101">
        <f>'Alertas tempranas AL y NC'!K30</f>
        <v>7</v>
      </c>
      <c r="E3" s="101">
        <f>'Alertas tempranas AL y NC'!L30</f>
        <v>1</v>
      </c>
      <c r="F3" s="101">
        <f>'Alertas tempranas AL y NC'!I30</f>
        <v>8</v>
      </c>
      <c r="G3" s="84"/>
      <c r="H3" s="84"/>
      <c r="I3" s="84"/>
      <c r="J3" s="84"/>
      <c r="K3" s="213"/>
      <c r="L3" s="254"/>
      <c r="M3" s="84"/>
      <c r="N3" s="84"/>
      <c r="O3" s="84"/>
      <c r="P3" s="84"/>
      <c r="Q3" s="84"/>
      <c r="R3" s="84"/>
      <c r="S3" s="84"/>
      <c r="T3" s="84"/>
      <c r="U3" s="84"/>
    </row>
    <row r="4" spans="1:21" ht="15" customHeight="1" x14ac:dyDescent="0.25">
      <c r="A4" s="84"/>
      <c r="B4" s="274" t="str">
        <f>+'Alertas tempranas AL y NC'!B31</f>
        <v>DIR. PARA LA GESTIÓN POLICIVA</v>
      </c>
      <c r="C4" s="275"/>
      <c r="D4" s="101">
        <f>'Alertas tempranas AL y NC'!K31</f>
        <v>3</v>
      </c>
      <c r="E4" s="101">
        <f>'Alertas tempranas AL y NC'!L31</f>
        <v>4</v>
      </c>
      <c r="F4" s="101">
        <f>'Alertas tempranas AL y NC'!I31</f>
        <v>8</v>
      </c>
      <c r="G4" s="84"/>
      <c r="H4" s="84"/>
      <c r="I4" s="84"/>
      <c r="J4" s="84"/>
      <c r="K4" s="213"/>
      <c r="L4" s="254"/>
      <c r="M4" s="84"/>
      <c r="N4" s="84"/>
      <c r="O4" s="84"/>
      <c r="P4" s="84"/>
      <c r="Q4" s="84"/>
      <c r="R4" s="84"/>
      <c r="S4" s="84"/>
      <c r="T4" s="84"/>
      <c r="U4" s="84"/>
    </row>
    <row r="5" spans="1:21" ht="15" customHeight="1" x14ac:dyDescent="0.25">
      <c r="A5" s="84"/>
      <c r="B5" s="274" t="str">
        <f>+'Alertas tempranas AL y NC'!B32</f>
        <v>OFICINA DE ASUNTOS DISCIPLINARIOS</v>
      </c>
      <c r="C5" s="275"/>
      <c r="D5" s="101">
        <f>'Alertas tempranas AL y NC'!K32</f>
        <v>0</v>
      </c>
      <c r="E5" s="101">
        <f>'Alertas tempranas AL y NC'!L32</f>
        <v>0</v>
      </c>
      <c r="F5" s="101">
        <f>'Alertas tempranas AL y NC'!I32</f>
        <v>15</v>
      </c>
      <c r="G5" s="84"/>
      <c r="H5" s="84"/>
      <c r="I5" s="84"/>
      <c r="J5" s="84"/>
      <c r="K5" s="255">
        <f>'Alertas tempranas AL y NC'!AB34</f>
        <v>0</v>
      </c>
      <c r="L5" s="256"/>
      <c r="M5" s="84"/>
      <c r="N5" s="84"/>
      <c r="O5" s="84"/>
      <c r="P5" s="84"/>
      <c r="Q5" s="84"/>
      <c r="R5" s="84"/>
      <c r="S5" s="84"/>
      <c r="T5" s="84"/>
      <c r="U5" s="84"/>
    </row>
    <row r="6" spans="1:21" ht="15" customHeight="1" x14ac:dyDescent="0.25">
      <c r="A6" s="84"/>
      <c r="B6" s="274" t="str">
        <f>+'Alertas tempranas AL y NC'!B33</f>
        <v>DIR. PARA LA GESTION DEL DESARROLLO LOCAL</v>
      </c>
      <c r="C6" s="275"/>
      <c r="D6" s="101">
        <f>'Alertas tempranas AL y NC'!K33</f>
        <v>1</v>
      </c>
      <c r="E6" s="101">
        <f>'Alertas tempranas AL y NC'!L33</f>
        <v>0</v>
      </c>
      <c r="F6" s="101">
        <f>'Alertas tempranas AL y NC'!I33</f>
        <v>8</v>
      </c>
      <c r="G6" s="84"/>
      <c r="H6" s="84"/>
      <c r="I6" s="84"/>
      <c r="J6" s="84"/>
      <c r="K6" s="255"/>
      <c r="L6" s="256"/>
      <c r="M6" s="84"/>
      <c r="N6" s="84"/>
      <c r="O6" s="84"/>
      <c r="P6" s="84"/>
      <c r="Q6" s="84"/>
      <c r="R6" s="84"/>
      <c r="S6" s="84"/>
      <c r="T6" s="84"/>
      <c r="U6" s="84"/>
    </row>
    <row r="7" spans="1:21" ht="15" customHeight="1" x14ac:dyDescent="0.25">
      <c r="A7" s="84"/>
      <c r="B7" s="274" t="str">
        <f>+'Alertas tempranas AL y NC'!B34</f>
        <v xml:space="preserve">DIR. DE CONVIVENCIA Y DIALOGO SOCIAL </v>
      </c>
      <c r="C7" s="275"/>
      <c r="D7" s="101">
        <f>'Alertas tempranas AL y NC'!K34</f>
        <v>0</v>
      </c>
      <c r="E7" s="101">
        <f>'Alertas tempranas AL y NC'!L34</f>
        <v>1</v>
      </c>
      <c r="F7" s="101">
        <f>'Alertas tempranas AL y NC'!I34</f>
        <v>6</v>
      </c>
      <c r="G7" s="84"/>
      <c r="H7" s="84"/>
      <c r="I7" s="84"/>
      <c r="J7" s="84"/>
      <c r="K7" s="257"/>
      <c r="L7" s="258"/>
      <c r="M7" s="84"/>
      <c r="N7" s="84"/>
      <c r="O7" s="84"/>
      <c r="P7" s="84"/>
      <c r="Q7" s="84"/>
      <c r="R7" s="84"/>
      <c r="S7" s="84"/>
      <c r="T7" s="84"/>
      <c r="U7" s="84"/>
    </row>
    <row r="8" spans="1:21" ht="15" customHeight="1" x14ac:dyDescent="0.25">
      <c r="A8" s="84"/>
      <c r="B8" s="274" t="str">
        <f>+'Alertas tempranas AL y NC'!B35</f>
        <v xml:space="preserve">DIR. DE GESTIÓN DEL TALENTO HUMANO </v>
      </c>
      <c r="C8" s="275"/>
      <c r="D8" s="101">
        <f>'Alertas tempranas AL y NC'!K35</f>
        <v>2</v>
      </c>
      <c r="E8" s="101">
        <f>'Alertas tempranas AL y NC'!L35</f>
        <v>1</v>
      </c>
      <c r="F8" s="101">
        <f>'Alertas tempranas AL y NC'!I35</f>
        <v>1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1:21" ht="15" customHeight="1" x14ac:dyDescent="0.25">
      <c r="A9" s="84"/>
      <c r="B9" s="274" t="str">
        <f>+'Alertas tempranas AL y NC'!B36</f>
        <v xml:space="preserve">DESPACHO DEL SECRETARIO DE GOBIERNO </v>
      </c>
      <c r="C9" s="275"/>
      <c r="D9" s="101">
        <f>'Alertas tempranas AL y NC'!K36</f>
        <v>0</v>
      </c>
      <c r="E9" s="101">
        <f>'Alertas tempranas AL y NC'!L36</f>
        <v>0</v>
      </c>
      <c r="F9" s="101">
        <f>'Alertas tempranas AL y NC'!I36</f>
        <v>3</v>
      </c>
      <c r="G9" s="84"/>
      <c r="H9" s="84"/>
      <c r="I9" s="84"/>
      <c r="J9" s="84"/>
      <c r="K9" s="259" t="str">
        <f>VLOOKUP('Alertas tempranas AL y NC'!G29,'Alertas tempranas AL y NC'!G29:L31,6,)</f>
        <v>PQRS Vencidas Con Respuesta Extemporánea Bte 29/05-02/06/2023</v>
      </c>
      <c r="L9" s="260"/>
      <c r="M9" s="84"/>
      <c r="N9" s="84"/>
      <c r="O9" s="84"/>
      <c r="P9" s="84"/>
      <c r="Q9" s="84"/>
      <c r="R9" s="84"/>
      <c r="S9" s="84"/>
      <c r="T9" s="84"/>
      <c r="U9" s="84"/>
    </row>
    <row r="10" spans="1:21" ht="15" customHeight="1" x14ac:dyDescent="0.25">
      <c r="A10" s="84"/>
      <c r="B10" s="274" t="str">
        <f>+'Alertas tempranas AL y NC'!B37</f>
        <v xml:space="preserve">SUBSECRETARIA DE GESTIÓN LOCAL </v>
      </c>
      <c r="C10" s="275"/>
      <c r="D10" s="101">
        <f>'Alertas tempranas AL y NC'!K37</f>
        <v>0</v>
      </c>
      <c r="E10" s="101">
        <f>'Alertas tempranas AL y NC'!L37</f>
        <v>0</v>
      </c>
      <c r="F10" s="101">
        <f>'Alertas tempranas AL y NC'!I37</f>
        <v>3</v>
      </c>
      <c r="G10" s="84"/>
      <c r="H10" s="84"/>
      <c r="I10" s="84"/>
      <c r="J10" s="84"/>
      <c r="K10" s="227"/>
      <c r="L10" s="261"/>
      <c r="M10" s="84"/>
      <c r="N10" s="84"/>
      <c r="O10" s="84"/>
      <c r="P10" s="84"/>
      <c r="Q10" s="84"/>
      <c r="R10" s="84"/>
      <c r="S10" s="84"/>
      <c r="T10" s="84"/>
      <c r="U10" s="84"/>
    </row>
    <row r="11" spans="1:21" ht="15" customHeight="1" x14ac:dyDescent="0.25">
      <c r="A11" s="84"/>
      <c r="B11" s="274" t="str">
        <f>+'Alertas tempranas AL y NC'!B38</f>
        <v>DIR. ADMINISTRATIVA</v>
      </c>
      <c r="C11" s="275"/>
      <c r="D11" s="101">
        <f>'Alertas tempranas AL y NC'!K38</f>
        <v>0</v>
      </c>
      <c r="E11" s="101">
        <f>'Alertas tempranas AL y NC'!L38</f>
        <v>0</v>
      </c>
      <c r="F11" s="101">
        <f>'Alertas tempranas AL y NC'!I38</f>
        <v>3</v>
      </c>
      <c r="G11" s="84"/>
      <c r="H11" s="84"/>
      <c r="I11" s="84"/>
      <c r="J11" s="84"/>
      <c r="K11" s="227"/>
      <c r="L11" s="261"/>
      <c r="M11" s="84"/>
      <c r="N11" s="84"/>
      <c r="O11" s="84"/>
      <c r="P11" s="84"/>
      <c r="Q11" s="84"/>
      <c r="R11" s="84"/>
      <c r="S11" s="84"/>
      <c r="T11" s="84"/>
      <c r="U11" s="84"/>
    </row>
    <row r="12" spans="1:21" ht="15" customHeight="1" x14ac:dyDescent="0.25">
      <c r="A12" s="84"/>
      <c r="B12" s="274" t="str">
        <f>+'Alertas tempranas AL y NC'!B39</f>
        <v>DIR. JURIDICA</v>
      </c>
      <c r="C12" s="275"/>
      <c r="D12" s="101">
        <f>'Alertas tempranas AL y NC'!K39</f>
        <v>0</v>
      </c>
      <c r="E12" s="101">
        <f>'Alertas tempranas AL y NC'!L39</f>
        <v>0</v>
      </c>
      <c r="F12" s="101">
        <f>'Alertas tempranas AL y NC'!I39</f>
        <v>2</v>
      </c>
      <c r="G12" s="84"/>
      <c r="H12" s="84"/>
      <c r="I12" s="84"/>
      <c r="J12" s="84"/>
      <c r="K12" s="227"/>
      <c r="L12" s="261"/>
      <c r="M12" s="84"/>
      <c r="N12" s="84"/>
      <c r="O12" s="84"/>
      <c r="P12" s="84"/>
      <c r="Q12" s="84"/>
      <c r="R12" s="84"/>
      <c r="S12" s="84"/>
      <c r="T12" s="84"/>
      <c r="U12" s="84"/>
    </row>
    <row r="13" spans="1:21" ht="15" customHeight="1" x14ac:dyDescent="0.25">
      <c r="A13" s="84"/>
      <c r="B13" s="274" t="str">
        <f>+'Alertas tempranas AL y NC'!B40</f>
        <v>SUBDIR. DE ASUNTOS INDIGENAS Y RROM</v>
      </c>
      <c r="C13" s="275"/>
      <c r="D13" s="101">
        <f>'Alertas tempranas AL y NC'!K40</f>
        <v>0</v>
      </c>
      <c r="E13" s="101">
        <f>'Alertas tempranas AL y NC'!L40</f>
        <v>0</v>
      </c>
      <c r="F13" s="101">
        <f>'Alertas tempranas AL y NC'!I40</f>
        <v>2</v>
      </c>
      <c r="G13" s="84"/>
      <c r="H13" s="84"/>
      <c r="I13" s="84"/>
      <c r="J13" s="84"/>
      <c r="K13" s="262">
        <f>'Alertas tempranas AL y NC'!AC34</f>
        <v>0</v>
      </c>
      <c r="L13" s="263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15" customHeight="1" x14ac:dyDescent="0.25">
      <c r="A14" s="84"/>
      <c r="B14" s="274" t="str">
        <f>+'Alertas tempranas AL y NC'!B41</f>
        <v>SUBSECRETARIA DE GESTIÓN INSTITUCIONAL</v>
      </c>
      <c r="C14" s="275"/>
      <c r="D14" s="101">
        <f>'Alertas tempranas AL y NC'!K41</f>
        <v>0</v>
      </c>
      <c r="E14" s="101">
        <f>'Alertas tempranas AL y NC'!L41</f>
        <v>0</v>
      </c>
      <c r="F14" s="101">
        <f>'Alertas tempranas AL y NC'!I41</f>
        <v>1</v>
      </c>
      <c r="G14" s="84"/>
      <c r="H14" s="84"/>
      <c r="I14" s="84"/>
      <c r="J14" s="84"/>
      <c r="K14" s="264"/>
      <c r="L14" s="265"/>
      <c r="M14" s="84"/>
      <c r="N14" s="84"/>
      <c r="O14" s="84"/>
      <c r="P14" s="84"/>
      <c r="Q14" s="84"/>
      <c r="R14" s="84"/>
      <c r="S14" s="84"/>
      <c r="T14" s="84"/>
      <c r="U14" s="84"/>
    </row>
    <row r="15" spans="1:21" ht="15" customHeight="1" x14ac:dyDescent="0.25">
      <c r="A15" s="84"/>
      <c r="B15" s="274" t="str">
        <f>+'Alertas tempranas AL y NC'!B42</f>
        <v>SUBDIR. DE ASUNTOS PARA COMUNIDADES NEGRAS, AFROCOLOMBIANAS, RAIZALES Y PALENQUERAS</v>
      </c>
      <c r="C15" s="275"/>
      <c r="D15" s="101">
        <f>'Alertas tempranas AL y NC'!K42</f>
        <v>1</v>
      </c>
      <c r="E15" s="101">
        <f>'Alertas tempranas AL y NC'!L42</f>
        <v>0</v>
      </c>
      <c r="F15" s="101">
        <f>'Alertas tempranas AL y NC'!I42</f>
        <v>0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  <row r="16" spans="1:21" ht="15" customHeight="1" x14ac:dyDescent="0.25">
      <c r="A16" s="84"/>
      <c r="B16" s="274" t="str">
        <f>+'Alertas tempranas AL y NC'!B43</f>
        <v>SUBSECRETARIA PARA LA GOBERNABILIDAD Y LA GARANTIA DE DERECHOS</v>
      </c>
      <c r="C16" s="275"/>
      <c r="D16" s="101">
        <f>'Alertas tempranas AL y NC'!K43</f>
        <v>0</v>
      </c>
      <c r="E16" s="101">
        <f>'Alertas tempranas AL y NC'!L43</f>
        <v>0</v>
      </c>
      <c r="F16" s="101">
        <f>'Alertas tempranas AL y NC'!I43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15" customHeight="1" x14ac:dyDescent="0.3">
      <c r="A17" s="84"/>
      <c r="B17" s="274" t="str">
        <f>+'Alertas tempranas AL y NC'!B44</f>
        <v>DIR. DE ASUNTOS ETNICOS</v>
      </c>
      <c r="C17" s="275"/>
      <c r="D17" s="101">
        <f>'Alertas tempranas AL y NC'!K44</f>
        <v>0</v>
      </c>
      <c r="E17" s="101">
        <f>'Alertas tempranas AL y NC'!L44</f>
        <v>0</v>
      </c>
      <c r="F17" s="101">
        <f>'Alertas tempranas AL y NC'!I44</f>
        <v>0</v>
      </c>
      <c r="G17" s="84"/>
      <c r="H17" s="84"/>
      <c r="I17" s="84"/>
      <c r="J17" s="84"/>
      <c r="K17" s="270" t="s">
        <v>125</v>
      </c>
      <c r="L17" s="271"/>
      <c r="M17" s="84"/>
      <c r="N17" s="173">
        <f>K20</f>
        <v>1</v>
      </c>
      <c r="O17" s="84"/>
      <c r="P17" s="84"/>
      <c r="Q17" s="84"/>
      <c r="R17" s="84"/>
      <c r="S17" s="84"/>
      <c r="T17" s="84"/>
      <c r="U17" s="84"/>
    </row>
    <row r="18" spans="1:21" ht="15" customHeight="1" x14ac:dyDescent="0.3">
      <c r="A18" s="84"/>
      <c r="B18" s="274" t="str">
        <f>+'Alertas tempranas AL y NC'!B45</f>
        <v>DIR. DE CONTRATACIÓN</v>
      </c>
      <c r="C18" s="275"/>
      <c r="D18" s="101">
        <f>'Alertas tempranas AL y NC'!K45</f>
        <v>0</v>
      </c>
      <c r="E18" s="101">
        <f>'Alertas tempranas AL y NC'!L45</f>
        <v>0</v>
      </c>
      <c r="F18" s="101">
        <f>'Alertas tempranas AL y NC'!I45</f>
        <v>0</v>
      </c>
      <c r="G18" s="84"/>
      <c r="H18" s="84"/>
      <c r="I18" s="84"/>
      <c r="J18" s="84"/>
      <c r="K18" s="272"/>
      <c r="L18" s="273"/>
      <c r="M18" s="84"/>
      <c r="N18" s="173">
        <f>K5</f>
        <v>0</v>
      </c>
      <c r="O18" s="84"/>
      <c r="P18" s="84"/>
      <c r="Q18" s="84"/>
      <c r="R18" s="84"/>
      <c r="S18" s="84"/>
      <c r="T18" s="84"/>
      <c r="U18" s="84"/>
    </row>
    <row r="19" spans="1:21" ht="15" customHeight="1" x14ac:dyDescent="0.3">
      <c r="A19" s="84"/>
      <c r="B19" s="274" t="str">
        <f>+'Alertas tempranas AL y NC'!B46</f>
        <v>DIR. PARA LA GESTIÓN ADMINISTRATIVA ESPECIAL DE POLICIA</v>
      </c>
      <c r="C19" s="275"/>
      <c r="D19" s="101">
        <f>'Alertas tempranas AL y NC'!K46</f>
        <v>0</v>
      </c>
      <c r="E19" s="101">
        <f>'Alertas tempranas AL y NC'!L46</f>
        <v>0</v>
      </c>
      <c r="F19" s="101">
        <f>'Alertas tempranas AL y NC'!I46</f>
        <v>0</v>
      </c>
      <c r="G19" s="84"/>
      <c r="H19" s="84"/>
      <c r="I19" s="84"/>
      <c r="J19" s="84"/>
      <c r="K19" s="272"/>
      <c r="L19" s="273"/>
      <c r="M19" s="84"/>
      <c r="N19" s="84"/>
      <c r="O19" s="84"/>
      <c r="P19" s="84"/>
      <c r="Q19" s="84"/>
      <c r="R19" s="173">
        <f>K13</f>
        <v>0</v>
      </c>
      <c r="S19" s="84"/>
      <c r="T19" s="84"/>
      <c r="U19" s="84"/>
    </row>
    <row r="20" spans="1:21" ht="15" customHeight="1" x14ac:dyDescent="0.25">
      <c r="A20" s="84"/>
      <c r="B20" s="274" t="str">
        <f>+'Alertas tempranas AL y NC'!B47</f>
        <v xml:space="preserve">DIR. FINANCIERA </v>
      </c>
      <c r="C20" s="275"/>
      <c r="D20" s="101">
        <f>'Alertas tempranas AL y NC'!K47</f>
        <v>0</v>
      </c>
      <c r="E20" s="101">
        <f>'Alertas tempranas AL y NC'!L47</f>
        <v>0</v>
      </c>
      <c r="F20" s="101">
        <f>'Alertas tempranas AL y NC'!I47</f>
        <v>0</v>
      </c>
      <c r="G20" s="84"/>
      <c r="H20" s="84"/>
      <c r="I20" s="84"/>
      <c r="J20" s="84"/>
      <c r="K20" s="266">
        <f>'Alertas tempranas AL y NC'!AC30</f>
        <v>1</v>
      </c>
      <c r="L20" s="267"/>
      <c r="M20" s="84"/>
      <c r="N20" s="84"/>
      <c r="O20" s="84"/>
      <c r="P20" s="84"/>
      <c r="Q20" s="84"/>
      <c r="R20" s="84"/>
      <c r="S20" s="84"/>
      <c r="T20" s="84"/>
      <c r="U20" s="84"/>
    </row>
    <row r="21" spans="1:21" ht="15" customHeight="1" x14ac:dyDescent="0.25">
      <c r="A21" s="84"/>
      <c r="B21" s="274" t="str">
        <f>+'Alertas tempranas AL y NC'!B48</f>
        <v>DIR. DE TECNOLOGIAS E INFORMACIÓN</v>
      </c>
      <c r="C21" s="275"/>
      <c r="D21" s="101">
        <f>'Alertas tempranas AL y NC'!K48</f>
        <v>0</v>
      </c>
      <c r="E21" s="101">
        <f>'Alertas tempranas AL y NC'!L48</f>
        <v>0</v>
      </c>
      <c r="F21" s="101">
        <f>'Alertas tempranas AL y NC'!I48</f>
        <v>0</v>
      </c>
      <c r="G21" s="84"/>
      <c r="H21" s="84"/>
      <c r="I21" s="84"/>
      <c r="J21" s="84"/>
      <c r="K21" s="266"/>
      <c r="L21" s="267"/>
      <c r="M21" s="84"/>
      <c r="N21" s="84"/>
      <c r="O21" s="84"/>
      <c r="P21" s="84"/>
      <c r="Q21" s="84"/>
      <c r="R21" s="84"/>
      <c r="S21" s="84"/>
      <c r="T21" s="84"/>
      <c r="U21" s="84"/>
    </row>
    <row r="22" spans="1:21" ht="15" customHeight="1" x14ac:dyDescent="0.25">
      <c r="A22" s="84"/>
      <c r="B22" s="274" t="str">
        <f>+'Alertas tempranas AL y NC'!B49</f>
        <v xml:space="preserve">OFICINA ASESORA DE COMUNICACIONES </v>
      </c>
      <c r="C22" s="275"/>
      <c r="D22" s="101">
        <f>'Alertas tempranas AL y NC'!K49</f>
        <v>0</v>
      </c>
      <c r="E22" s="101">
        <f>'Alertas tempranas AL y NC'!L49</f>
        <v>0</v>
      </c>
      <c r="F22" s="101">
        <f>'Alertas tempranas AL y NC'!I49</f>
        <v>0</v>
      </c>
      <c r="G22" s="84"/>
      <c r="H22" s="84"/>
      <c r="I22" s="84"/>
      <c r="J22" s="84"/>
      <c r="K22" s="268"/>
      <c r="L22" s="269"/>
      <c r="M22" s="84"/>
      <c r="N22" s="84"/>
      <c r="O22" s="84"/>
      <c r="P22" s="84"/>
      <c r="Q22" s="84"/>
      <c r="R22" s="84"/>
      <c r="S22" s="84"/>
      <c r="T22" s="84"/>
      <c r="U22" s="84"/>
    </row>
    <row r="23" spans="1:21" ht="15" customHeight="1" x14ac:dyDescent="0.25">
      <c r="A23" s="84"/>
      <c r="B23" s="274" t="str">
        <f>+'Alertas tempranas AL y NC'!B50</f>
        <v>DIR. DE RELACIONES POLITICAS</v>
      </c>
      <c r="C23" s="275"/>
      <c r="D23" s="101">
        <f>'Alertas tempranas AL y NC'!K50</f>
        <v>0</v>
      </c>
      <c r="E23" s="101">
        <f>'Alertas tempranas AL y NC'!L50</f>
        <v>0</v>
      </c>
      <c r="F23" s="101">
        <f>'Alertas tempranas AL y NC'!I50</f>
        <v>0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</row>
    <row r="24" spans="1:21" ht="15" customHeight="1" x14ac:dyDescent="0.25">
      <c r="A24" s="84"/>
      <c r="B24" s="274" t="str">
        <f>+'Alertas tempranas AL y NC'!B51</f>
        <v>SUBDIR. DE ASUNTOS DE LIBERTAD RELIGIOSA Y DE CONCIENCIA</v>
      </c>
      <c r="C24" s="275"/>
      <c r="D24" s="101">
        <f>'Alertas tempranas AL y NC'!K51</f>
        <v>0</v>
      </c>
      <c r="E24" s="101">
        <f>'Alertas tempranas AL y NC'!L51</f>
        <v>0</v>
      </c>
      <c r="F24" s="101">
        <f>'Alertas tempranas AL y NC'!I51</f>
        <v>0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5" spans="1:21" ht="15" customHeight="1" x14ac:dyDescent="0.25">
      <c r="A25" s="84"/>
      <c r="B25" s="276" t="s">
        <v>3</v>
      </c>
      <c r="C25" s="277"/>
      <c r="D25" s="153">
        <f>SUM(D3:D24)</f>
        <v>14</v>
      </c>
      <c r="E25" s="153">
        <f>SUM(E3:E24)</f>
        <v>7</v>
      </c>
      <c r="F25" s="153">
        <f>SUM(F3:F24)</f>
        <v>61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</row>
    <row r="26" spans="1:21" ht="15" customHeight="1" x14ac:dyDescent="0.25">
      <c r="A26" s="84"/>
      <c r="B26" s="88" t="s">
        <v>98</v>
      </c>
      <c r="C26" s="88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spans="1:21" ht="15" customHeight="1" x14ac:dyDescent="0.25">
      <c r="A27" s="84"/>
      <c r="B27" s="88"/>
      <c r="C27" s="88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</row>
    <row r="28" spans="1:21" ht="15" customHeight="1" x14ac:dyDescent="0.25">
      <c r="A28" s="84"/>
      <c r="B28" s="88"/>
      <c r="C28" s="88"/>
      <c r="D28" s="84"/>
      <c r="E28" s="84"/>
      <c r="F28" s="84"/>
      <c r="G28" s="251" t="s">
        <v>112</v>
      </c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84"/>
      <c r="S28" s="84"/>
      <c r="T28" s="84"/>
      <c r="U28" s="84"/>
    </row>
    <row r="29" spans="1:21" ht="15" customHeight="1" x14ac:dyDescent="0.25">
      <c r="A29" s="84"/>
      <c r="B29" s="88"/>
      <c r="C29" s="88"/>
      <c r="D29" s="84"/>
      <c r="E29" s="84"/>
      <c r="F29" s="84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150">
        <v>1</v>
      </c>
      <c r="S29" s="151">
        <v>1</v>
      </c>
      <c r="T29" s="84"/>
      <c r="U29" s="84"/>
    </row>
    <row r="30" spans="1:21" ht="15" customHeight="1" x14ac:dyDescent="0.25">
      <c r="A30" s="84"/>
      <c r="B30" s="88"/>
      <c r="C30" s="88"/>
      <c r="D30" s="84"/>
      <c r="E30" s="84"/>
      <c r="F30" s="84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4"/>
    </row>
    <row r="31" spans="1:21" ht="15" customHeight="1" x14ac:dyDescent="0.25">
      <c r="A31" s="84"/>
      <c r="B31" s="88"/>
      <c r="C31" s="88"/>
      <c r="D31" s="154"/>
      <c r="E31" s="154"/>
      <c r="F31" s="84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4"/>
    </row>
    <row r="32" spans="1:21" ht="15" customHeight="1" x14ac:dyDescent="0.25">
      <c r="A32" s="84"/>
      <c r="B32" s="88"/>
      <c r="C32" s="88"/>
      <c r="D32" s="154"/>
      <c r="E32" s="154"/>
      <c r="F32" s="183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4"/>
    </row>
    <row r="33" spans="1:21" ht="15" customHeight="1" x14ac:dyDescent="0.25">
      <c r="A33" s="84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4"/>
    </row>
    <row r="34" spans="1:21" ht="15" customHeight="1" x14ac:dyDescent="0.25">
      <c r="A34" s="84"/>
      <c r="B34" s="84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4"/>
    </row>
    <row r="35" spans="1:21" ht="15" customHeight="1" x14ac:dyDescent="0.25">
      <c r="A35" s="84"/>
      <c r="B35" s="84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4"/>
    </row>
    <row r="36" spans="1:21" ht="15" customHeight="1" x14ac:dyDescent="0.25">
      <c r="A36" s="84"/>
      <c r="B36" s="84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4"/>
    </row>
    <row r="37" spans="1:21" ht="15" customHeight="1" x14ac:dyDescent="0.25">
      <c r="A37" s="84"/>
      <c r="B37" s="84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4"/>
    </row>
    <row r="38" spans="1:21" ht="15" customHeight="1" x14ac:dyDescent="0.25">
      <c r="A38" s="84"/>
      <c r="B38" s="84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4"/>
    </row>
    <row r="39" spans="1:21" ht="15" customHeight="1" x14ac:dyDescent="0.25">
      <c r="A39" s="84"/>
      <c r="B39" s="84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4"/>
    </row>
    <row r="40" spans="1:21" ht="15" customHeight="1" x14ac:dyDescent="0.25">
      <c r="A40" s="84"/>
      <c r="B40" s="84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4"/>
    </row>
    <row r="41" spans="1:21" ht="15" customHeight="1" x14ac:dyDescent="0.25">
      <c r="A41" s="84"/>
      <c r="B41" s="84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4"/>
    </row>
    <row r="42" spans="1:21" ht="15" customHeight="1" x14ac:dyDescent="0.25">
      <c r="A42" s="84"/>
      <c r="B42" s="84"/>
      <c r="C42" s="88"/>
      <c r="D42" s="88"/>
      <c r="E42" s="88"/>
      <c r="F42" s="88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</row>
    <row r="43" spans="1:21" ht="15" customHeight="1" x14ac:dyDescent="0.25">
      <c r="A43" s="84"/>
      <c r="B43" s="84"/>
      <c r="C43" s="88"/>
      <c r="D43" s="88"/>
      <c r="E43" s="88"/>
      <c r="F43" s="88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</row>
    <row r="44" spans="1:21" ht="15" customHeight="1" x14ac:dyDescent="0.25">
      <c r="A44" s="84"/>
      <c r="B44" s="84"/>
      <c r="C44" s="88"/>
      <c r="D44" s="88"/>
      <c r="E44" s="88"/>
      <c r="F44" s="88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ht="15" customHeight="1" x14ac:dyDescent="0.25">
      <c r="A45" s="84"/>
      <c r="B45" s="84"/>
      <c r="C45" s="88"/>
      <c r="D45" s="88"/>
      <c r="E45" s="88"/>
      <c r="F45" s="88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</row>
    <row r="46" spans="1:21" ht="15" customHeight="1" x14ac:dyDescent="0.25">
      <c r="A46" s="84"/>
      <c r="B46" s="84"/>
      <c r="C46" s="88"/>
      <c r="D46" s="88"/>
      <c r="E46" s="88"/>
      <c r="F46" s="88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:21" ht="15" customHeight="1" x14ac:dyDescent="0.25">
      <c r="A47" s="84"/>
      <c r="B47" s="84"/>
      <c r="C47" s="88"/>
      <c r="D47" s="88"/>
      <c r="E47" s="88"/>
      <c r="F47" s="88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:21" ht="15" customHeight="1" x14ac:dyDescent="0.25">
      <c r="A48" s="84"/>
      <c r="B48" s="84"/>
      <c r="C48" s="88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</row>
    <row r="49" spans="1:21" ht="15" customHeight="1" x14ac:dyDescent="0.25">
      <c r="A49" s="84"/>
      <c r="B49" s="84"/>
      <c r="C49" s="88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</row>
    <row r="50" spans="1:21" ht="15" customHeight="1" x14ac:dyDescent="0.25">
      <c r="A50" s="84"/>
      <c r="B50" s="84"/>
      <c r="C50" s="88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</row>
    <row r="51" spans="1:21" ht="15" customHeight="1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</row>
    <row r="52" spans="1:21" ht="1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</row>
  </sheetData>
  <protectedRanges>
    <protectedRange sqref="D2:F2" name="Rango1"/>
    <protectedRange sqref="N17" name="Rango1_1"/>
    <protectedRange sqref="N18" name="Rango1_2"/>
    <protectedRange sqref="R19" name="Rango1_3"/>
  </protectedRanges>
  <mergeCells count="33">
    <mergeCell ref="B5:C5"/>
    <mergeCell ref="B15:C15"/>
    <mergeCell ref="B16:C16"/>
    <mergeCell ref="B6:C6"/>
    <mergeCell ref="B7:C7"/>
    <mergeCell ref="B8:C8"/>
    <mergeCell ref="B9:C9"/>
    <mergeCell ref="B10:C10"/>
    <mergeCell ref="B11:C11"/>
    <mergeCell ref="B12:C12"/>
    <mergeCell ref="B13:C13"/>
    <mergeCell ref="B1:F1"/>
    <mergeCell ref="J1:T1"/>
    <mergeCell ref="B2:C2"/>
    <mergeCell ref="B3:C3"/>
    <mergeCell ref="B4:C4"/>
    <mergeCell ref="B24:C24"/>
    <mergeCell ref="B25:C25"/>
    <mergeCell ref="B17:C17"/>
    <mergeCell ref="B14:C14"/>
    <mergeCell ref="B22:C22"/>
    <mergeCell ref="B23:C23"/>
    <mergeCell ref="B18:C18"/>
    <mergeCell ref="B19:C19"/>
    <mergeCell ref="B20:C20"/>
    <mergeCell ref="B21:C21"/>
    <mergeCell ref="G28:Q29"/>
    <mergeCell ref="K2:L4"/>
    <mergeCell ref="K5:L7"/>
    <mergeCell ref="K9:L12"/>
    <mergeCell ref="K13:L14"/>
    <mergeCell ref="K20:L22"/>
    <mergeCell ref="K17:L19"/>
  </mergeCells>
  <conditionalFormatting sqref="G30:J30">
    <cfRule type="expression" dxfId="10" priority="12">
      <formula>$R$29=1</formula>
    </cfRule>
  </conditionalFormatting>
  <conditionalFormatting sqref="G30:G44">
    <cfRule type="expression" dxfId="9" priority="11">
      <formula>$R$29=1</formula>
    </cfRule>
  </conditionalFormatting>
  <conditionalFormatting sqref="K30:L44">
    <cfRule type="expression" dxfId="8" priority="10">
      <formula>$R$29=2</formula>
    </cfRule>
  </conditionalFormatting>
  <conditionalFormatting sqref="P30:S44">
    <cfRule type="expression" dxfId="7" priority="9">
      <formula>$R$29=3</formula>
    </cfRule>
  </conditionalFormatting>
  <conditionalFormatting sqref="H30:H44">
    <cfRule type="expression" dxfId="6" priority="8">
      <formula>$R$29=1</formula>
    </cfRule>
  </conditionalFormatting>
  <conditionalFormatting sqref="M30:M44">
    <cfRule type="expression" dxfId="5" priority="7">
      <formula>$R$29=2</formula>
    </cfRule>
  </conditionalFormatting>
  <conditionalFormatting sqref="I30:I44">
    <cfRule type="expression" dxfId="4" priority="6">
      <formula>$R$29=1</formula>
    </cfRule>
  </conditionalFormatting>
  <conditionalFormatting sqref="N30:N44">
    <cfRule type="expression" dxfId="3" priority="5">
      <formula>$R$29=2</formula>
    </cfRule>
  </conditionalFormatting>
  <conditionalFormatting sqref="J30:J44">
    <cfRule type="expression" dxfId="2" priority="4">
      <formula>$R$29=1</formula>
    </cfRule>
  </conditionalFormatting>
  <conditionalFormatting sqref="T30:T44">
    <cfRule type="expression" dxfId="1" priority="2">
      <formula>$R$29=3</formula>
    </cfRule>
  </conditionalFormatting>
  <conditionalFormatting sqref="O30:O44">
    <cfRule type="expression" dxfId="0" priority="1">
      <formula>$R$29=3</formula>
    </cfRule>
  </conditionalFormatting>
  <pageMargins left="0.7" right="0.7" top="0.75" bottom="0.75" header="0.3" footer="0.3"/>
  <pageSetup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17</xdr:col>
                    <xdr:colOff>0</xdr:colOff>
                    <xdr:row>27</xdr:row>
                    <xdr:rowOff>28575</xdr:rowOff>
                  </from>
                  <to>
                    <xdr:col>20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5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J i 2 V i M F t T + k A A A A 9 g A A A B I A H A B D b 2 5 m a W c v U G F j a 2 F n Z S 5 4 b W w g o h g A K K A U A A A A A A A A A A A A A A A A A A A A A A A A A A A A h Y 9 N D o I w G E S v Q r q n P 0 i M I R 9 l w V a i i Y l x 2 5 Q K j V A M L Z a 7 u f B I X k G M o u 5 c z p u 3 m L l f b 5 C N b R N c V G 9 1 Z 1 L E M E W B M r I r t a l S N L h j u E I Z h 6 2 Q J 1 G p Y J K N T U Z b p q h 2 7 p w Q 4 r 3 H f o G 7 v i I R p Y w c i v V O 1 q o V 6 C P r / 3 K o j X X C S I U 4 7 F 9 j e I Q Z W + K Y x p g C m S E U 2 n y F a N r 7 b H 8 g 5 E P j h l 5 x Z c N 8 A 2 S O Q N 4 f + A N Q S w M E F A A C A A g A e J i 2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i Y t l Y o i k e 4 D g A A A B E A A A A T A B w A R m 9 y b X V s Y X M v U 2 V j d G l v b j E u b S C i G A A o o B Q A A A A A A A A A A A A A A A A A A A A A A A A A A A A r T k 0 u y c z P U w i G 0 I b W A F B L A Q I t A B Q A A g A I A H i Y t l Y j B b U / p A A A A P Y A A A A S A A A A A A A A A A A A A A A A A A A A A A B D b 2 5 m a W c v U G F j a 2 F n Z S 5 4 b W x Q S w E C L Q A U A A I A C A B 4 m L Z W D 8 r p q 6 Q A A A D p A A A A E w A A A A A A A A A A A A A A A A D w A A A A W 0 N v b n R l b n R f V H l w Z X N d L n h t b F B L A Q I t A B Q A A g A I A H i Y t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E 1 0 j W n 6 y R r l T 0 4 2 7 a a o A A A A A A A I A A A A A A B B m A A A A A Q A A I A A A A J r C K Z d l 0 9 2 O c z T p 9 L d a q X v G + k V 5 Z u / Q o K 1 a O N g u B 8 u Z A A A A A A 6 A A A A A A g A A I A A A A O I B Z m q y I S G 6 G y m O / t 8 t a u 6 g L C g E B 1 x 8 v J b S U V 0 s l 1 7 M U A A A A P T G n H 0 R u z G S 8 p O u + s m g o c D U j B h h Z W x f O A l M G T / 9 / m R J Q M K t s s l X U y s O L H T N P D u t u K t K E t O S 4 1 N l J n S 8 x V w O b Q O o R c 9 2 E W D 8 1 7 x e U S N V 6 e w 6 Q A A A A G 6 W E o w Y L u 2 m P S G P / o + S 2 v e l M X U y B K M K f a U t f n 3 Y 3 W G S n y g S U p B 2 y 2 u Q m / D b W / P e q d A D N j i N w e G w S d + h W S p w d m k = < / D a t a M a s h u p > 
</file>

<file path=customXml/itemProps1.xml><?xml version="1.0" encoding="utf-8"?>
<ds:datastoreItem xmlns:ds="http://schemas.openxmlformats.org/officeDocument/2006/customXml" ds:itemID="{0349E3EF-0022-4626-A04C-713E6A8E98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Alertas tempranas AL y NC</vt:lpstr>
      <vt:lpstr>Comparativo AL</vt:lpstr>
      <vt:lpstr>Comparativo NC</vt:lpstr>
      <vt:lpstr>Gráfico Alertas Alcaldías</vt:lpstr>
      <vt:lpstr>Gráfico Alertas Dependencias NC</vt:lpstr>
      <vt:lpstr>'Gráfico Alertas Alcaldías'!Área_de_impresión</vt:lpstr>
      <vt:lpstr>'Gráfico Alertas Dependencias NC'!Área_de_impresión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 Barreiro</dc:creator>
  <cp:keywords/>
  <dc:description/>
  <cp:lastModifiedBy>Sandra Mary Pereira Lizcano</cp:lastModifiedBy>
  <cp:revision/>
  <cp:lastPrinted>2023-05-23T13:34:16Z</cp:lastPrinted>
  <dcterms:created xsi:type="dcterms:W3CDTF">2023-01-07T00:34:22Z</dcterms:created>
  <dcterms:modified xsi:type="dcterms:W3CDTF">2023-06-15T20:12:07Z</dcterms:modified>
  <cp:category/>
  <cp:contentStatus/>
</cp:coreProperties>
</file>